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55" windowHeight="9210" firstSheet="3" activeTab="6"/>
  </bookViews>
  <sheets>
    <sheet name="уч.год 2018-2019 (7-11) обед" sheetId="4" r:id="rId1"/>
    <sheet name="уч.год 2018-2019 (11-17) обед" sheetId="5" r:id="rId2"/>
    <sheet name="уч.год 2018-2019 (7-11) гор.зав" sheetId="6" r:id="rId3"/>
    <sheet name="уч.год 2018-2019( 11-17) гор.за" sheetId="7" r:id="rId4"/>
    <sheet name="уч.год 2018-2019 льготники " sheetId="8" r:id="rId5"/>
    <sheet name="Завтрак " sheetId="9" r:id="rId6"/>
    <sheet name="исправленный завтрак" sheetId="10" r:id="rId7"/>
  </sheets>
  <definedNames>
    <definedName name="_xlnm.Print_Area" localSheetId="1">'уч.год 2018-2019 (11-17) обед'!$A$1:$V$370</definedName>
    <definedName name="_xlnm.Print_Area" localSheetId="0">'уч.год 2018-2019 (7-11) обед'!$A$1:$V$370</definedName>
  </definedNames>
  <calcPr calcId="144525"/>
</workbook>
</file>

<file path=xl/calcChain.xml><?xml version="1.0" encoding="utf-8"?>
<calcChain xmlns="http://schemas.openxmlformats.org/spreadsheetml/2006/main">
  <c r="R150" i="10" l="1"/>
  <c r="Q150" i="10"/>
  <c r="P150" i="10"/>
  <c r="O150" i="10"/>
  <c r="N150" i="10"/>
  <c r="M150" i="10"/>
  <c r="L150" i="10"/>
  <c r="K150" i="10"/>
  <c r="J150" i="10"/>
  <c r="I150" i="10"/>
  <c r="H150" i="10"/>
  <c r="G150" i="10"/>
  <c r="F150" i="10"/>
  <c r="E150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O81" i="10"/>
  <c r="M81" i="10"/>
  <c r="L81" i="10"/>
  <c r="K81" i="10"/>
  <c r="J81" i="10"/>
  <c r="I81" i="10"/>
  <c r="H81" i="10"/>
  <c r="G81" i="10"/>
  <c r="E81" i="10"/>
  <c r="R79" i="10"/>
  <c r="R83" i="10" s="1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Q78" i="10"/>
  <c r="P78" i="10"/>
  <c r="O78" i="10"/>
  <c r="N78" i="10"/>
  <c r="N83" i="10" s="1"/>
  <c r="M78" i="10"/>
  <c r="L78" i="10"/>
  <c r="K78" i="10"/>
  <c r="J78" i="10"/>
  <c r="I78" i="10"/>
  <c r="H78" i="10"/>
  <c r="G78" i="10"/>
  <c r="F78" i="10"/>
  <c r="E78" i="10"/>
  <c r="Q77" i="10"/>
  <c r="Q83" i="10" s="1"/>
  <c r="P77" i="10"/>
  <c r="O77" i="10"/>
  <c r="O83" i="10" s="1"/>
  <c r="M77" i="10"/>
  <c r="L77" i="10"/>
  <c r="L83" i="10" s="1"/>
  <c r="K77" i="10"/>
  <c r="J77" i="10"/>
  <c r="J83" i="10" s="1"/>
  <c r="I77" i="10"/>
  <c r="H77" i="10"/>
  <c r="H83" i="10" s="1"/>
  <c r="G77" i="10"/>
  <c r="F77" i="10"/>
  <c r="F83" i="10" s="1"/>
  <c r="E77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R35" i="10"/>
  <c r="R36" i="10" s="1"/>
  <c r="Q35" i="10"/>
  <c r="Q36" i="10" s="1"/>
  <c r="P35" i="10"/>
  <c r="P36" i="10" s="1"/>
  <c r="O35" i="10"/>
  <c r="O36" i="10" s="1"/>
  <c r="N35" i="10"/>
  <c r="N36" i="10" s="1"/>
  <c r="M35" i="10"/>
  <c r="M36" i="10" s="1"/>
  <c r="L35" i="10"/>
  <c r="L36" i="10" s="1"/>
  <c r="K35" i="10"/>
  <c r="K36" i="10" s="1"/>
  <c r="J35" i="10"/>
  <c r="J36" i="10" s="1"/>
  <c r="I35" i="10"/>
  <c r="I36" i="10" s="1"/>
  <c r="H35" i="10"/>
  <c r="H36" i="10" s="1"/>
  <c r="G35" i="10"/>
  <c r="G36" i="10" s="1"/>
  <c r="F35" i="10"/>
  <c r="F36" i="10" s="1"/>
  <c r="E35" i="10"/>
  <c r="E36" i="10" s="1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R168" i="10"/>
  <c r="Q168" i="10"/>
  <c r="P168" i="10"/>
  <c r="O168" i="10"/>
  <c r="N168" i="10"/>
  <c r="M168" i="10"/>
  <c r="L168" i="10"/>
  <c r="K168" i="10"/>
  <c r="J168" i="10"/>
  <c r="I168" i="10"/>
  <c r="H168" i="10"/>
  <c r="G168" i="10"/>
  <c r="F168" i="10"/>
  <c r="E168" i="10"/>
  <c r="R162" i="10"/>
  <c r="Q162" i="10"/>
  <c r="P162" i="10"/>
  <c r="O162" i="10"/>
  <c r="N162" i="10"/>
  <c r="M162" i="10"/>
  <c r="L162" i="10"/>
  <c r="K162" i="10"/>
  <c r="J162" i="10"/>
  <c r="I162" i="10"/>
  <c r="H162" i="10"/>
  <c r="G162" i="10"/>
  <c r="F162" i="10"/>
  <c r="E162" i="10"/>
  <c r="O161" i="10"/>
  <c r="M161" i="10"/>
  <c r="L161" i="10"/>
  <c r="K161" i="10"/>
  <c r="J161" i="10"/>
  <c r="I161" i="10"/>
  <c r="H161" i="10"/>
  <c r="G161" i="10"/>
  <c r="E161" i="10"/>
  <c r="R159" i="10"/>
  <c r="Q159" i="10"/>
  <c r="P159" i="10"/>
  <c r="O159" i="10"/>
  <c r="N159" i="10"/>
  <c r="M159" i="10"/>
  <c r="L159" i="10"/>
  <c r="K159" i="10"/>
  <c r="J159" i="10"/>
  <c r="I159" i="10"/>
  <c r="H159" i="10"/>
  <c r="G159" i="10"/>
  <c r="F159" i="10"/>
  <c r="E159" i="10"/>
  <c r="Q158" i="10"/>
  <c r="P158" i="10"/>
  <c r="O158" i="10"/>
  <c r="N158" i="10"/>
  <c r="N163" i="10" s="1"/>
  <c r="M158" i="10"/>
  <c r="L158" i="10"/>
  <c r="K158" i="10"/>
  <c r="J158" i="10"/>
  <c r="I158" i="10"/>
  <c r="H158" i="10"/>
  <c r="G158" i="10"/>
  <c r="F158" i="10"/>
  <c r="E158" i="10"/>
  <c r="Q157" i="10"/>
  <c r="Q163" i="10" s="1"/>
  <c r="P157" i="10"/>
  <c r="O157" i="10"/>
  <c r="O163" i="10" s="1"/>
  <c r="M157" i="10"/>
  <c r="L157" i="10"/>
  <c r="L163" i="10" s="1"/>
  <c r="K157" i="10"/>
  <c r="J157" i="10"/>
  <c r="J163" i="10" s="1"/>
  <c r="I157" i="10"/>
  <c r="H157" i="10"/>
  <c r="H163" i="10" s="1"/>
  <c r="G157" i="10"/>
  <c r="F157" i="10"/>
  <c r="F163" i="10" s="1"/>
  <c r="E157" i="10"/>
  <c r="R134" i="10"/>
  <c r="Q134" i="10"/>
  <c r="Q136" i="10" s="1"/>
  <c r="Q154" i="10" s="1"/>
  <c r="P134" i="10"/>
  <c r="O134" i="10"/>
  <c r="O136" i="10" s="1"/>
  <c r="O154" i="10" s="1"/>
  <c r="N134" i="10"/>
  <c r="M134" i="10"/>
  <c r="M136" i="10" s="1"/>
  <c r="M154" i="10" s="1"/>
  <c r="L134" i="10"/>
  <c r="K134" i="10"/>
  <c r="K136" i="10" s="1"/>
  <c r="K154" i="10" s="1"/>
  <c r="J134" i="10"/>
  <c r="I134" i="10"/>
  <c r="I136" i="10" s="1"/>
  <c r="I154" i="10" s="1"/>
  <c r="H134" i="10"/>
  <c r="G134" i="10"/>
  <c r="G136" i="10" s="1"/>
  <c r="G154" i="10" s="1"/>
  <c r="F134" i="10"/>
  <c r="E134" i="10"/>
  <c r="E136" i="10" s="1"/>
  <c r="E154" i="10" s="1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R21" i="10"/>
  <c r="R22" i="10" s="1"/>
  <c r="Q21" i="10"/>
  <c r="Q22" i="10" s="1"/>
  <c r="P21" i="10"/>
  <c r="P22" i="10" s="1"/>
  <c r="O21" i="10"/>
  <c r="O22" i="10" s="1"/>
  <c r="N21" i="10"/>
  <c r="N22" i="10" s="1"/>
  <c r="M21" i="10"/>
  <c r="M22" i="10" s="1"/>
  <c r="L21" i="10"/>
  <c r="L22" i="10" s="1"/>
  <c r="K21" i="10"/>
  <c r="K22" i="10" s="1"/>
  <c r="J21" i="10"/>
  <c r="J22" i="10" s="1"/>
  <c r="I21" i="10"/>
  <c r="I22" i="10" s="1"/>
  <c r="H21" i="10"/>
  <c r="H22" i="10" s="1"/>
  <c r="G21" i="10"/>
  <c r="G22" i="10" s="1"/>
  <c r="F21" i="10"/>
  <c r="F22" i="10" s="1"/>
  <c r="E21" i="10"/>
  <c r="E22" i="10" s="1"/>
  <c r="R168" i="9"/>
  <c r="Q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O161" i="9"/>
  <c r="M161" i="9"/>
  <c r="L161" i="9"/>
  <c r="K161" i="9"/>
  <c r="J161" i="9"/>
  <c r="I161" i="9"/>
  <c r="H161" i="9"/>
  <c r="G161" i="9"/>
  <c r="E161" i="9"/>
  <c r="R159" i="9"/>
  <c r="R163" i="9" s="1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Q157" i="9"/>
  <c r="P157" i="9"/>
  <c r="O157" i="9"/>
  <c r="M157" i="9"/>
  <c r="L157" i="9"/>
  <c r="K157" i="9"/>
  <c r="J157" i="9"/>
  <c r="I157" i="9"/>
  <c r="I163" i="9" s="1"/>
  <c r="H157" i="9"/>
  <c r="G157" i="9"/>
  <c r="F157" i="9"/>
  <c r="E157" i="9"/>
  <c r="E163" i="9" s="1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R134" i="9"/>
  <c r="R136" i="9" s="1"/>
  <c r="Q134" i="9"/>
  <c r="Q136" i="9" s="1"/>
  <c r="P134" i="9"/>
  <c r="P136" i="9" s="1"/>
  <c r="O134" i="9"/>
  <c r="O136" i="9" s="1"/>
  <c r="N134" i="9"/>
  <c r="N136" i="9" s="1"/>
  <c r="M134" i="9"/>
  <c r="M136" i="9" s="1"/>
  <c r="L134" i="9"/>
  <c r="L136" i="9" s="1"/>
  <c r="K134" i="9"/>
  <c r="K136" i="9" s="1"/>
  <c r="J134" i="9"/>
  <c r="J136" i="9" s="1"/>
  <c r="I134" i="9"/>
  <c r="I136" i="9" s="1"/>
  <c r="H134" i="9"/>
  <c r="H136" i="9" s="1"/>
  <c r="G134" i="9"/>
  <c r="G136" i="9" s="1"/>
  <c r="F134" i="9"/>
  <c r="F136" i="9" s="1"/>
  <c r="E134" i="9"/>
  <c r="E136" i="9" s="1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R33" i="9"/>
  <c r="R35" i="9" s="1"/>
  <c r="Q33" i="9"/>
  <c r="Q35" i="9" s="1"/>
  <c r="P33" i="9"/>
  <c r="P35" i="9" s="1"/>
  <c r="O33" i="9"/>
  <c r="O35" i="9" s="1"/>
  <c r="N33" i="9"/>
  <c r="N35" i="9" s="1"/>
  <c r="M33" i="9"/>
  <c r="M35" i="9" s="1"/>
  <c r="L33" i="9"/>
  <c r="L35" i="9" s="1"/>
  <c r="K33" i="9"/>
  <c r="K35" i="9" s="1"/>
  <c r="J33" i="9"/>
  <c r="J35" i="9" s="1"/>
  <c r="I33" i="9"/>
  <c r="I35" i="9" s="1"/>
  <c r="H33" i="9"/>
  <c r="H35" i="9" s="1"/>
  <c r="G33" i="9"/>
  <c r="G35" i="9" s="1"/>
  <c r="F33" i="9"/>
  <c r="F35" i="9" s="1"/>
  <c r="E33" i="9"/>
  <c r="E35" i="9" s="1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15" i="9"/>
  <c r="Q15" i="9"/>
  <c r="P15" i="9"/>
  <c r="O15" i="9"/>
  <c r="O22" i="9" s="1"/>
  <c r="N15" i="9"/>
  <c r="M15" i="9"/>
  <c r="L15" i="9"/>
  <c r="K15" i="9"/>
  <c r="K22" i="9" s="1"/>
  <c r="J15" i="9"/>
  <c r="I15" i="9"/>
  <c r="H15" i="9"/>
  <c r="G15" i="9"/>
  <c r="G22" i="9" s="1"/>
  <c r="F15" i="9"/>
  <c r="E15" i="9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V227" i="8"/>
  <c r="V226" i="8"/>
  <c r="V225" i="8"/>
  <c r="V224" i="8"/>
  <c r="V223" i="8"/>
  <c r="V222" i="8"/>
  <c r="V221" i="8"/>
  <c r="V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V208" i="8"/>
  <c r="V207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V204" i="8"/>
  <c r="V203" i="8"/>
  <c r="V202" i="8"/>
  <c r="V201" i="8"/>
  <c r="V200" i="8"/>
  <c r="V199" i="8"/>
  <c r="V198" i="8"/>
  <c r="V197" i="8"/>
  <c r="S194" i="8"/>
  <c r="R194" i="8"/>
  <c r="Q194" i="8"/>
  <c r="P194" i="8"/>
  <c r="O194" i="8"/>
  <c r="N194" i="8"/>
  <c r="M194" i="8"/>
  <c r="L194" i="8"/>
  <c r="K194" i="8"/>
  <c r="J194" i="8"/>
  <c r="F194" i="8"/>
  <c r="V193" i="8"/>
  <c r="V192" i="8"/>
  <c r="V191" i="8"/>
  <c r="I191" i="8"/>
  <c r="I194" i="8" s="1"/>
  <c r="H191" i="8"/>
  <c r="H194" i="8" s="1"/>
  <c r="G191" i="8"/>
  <c r="G194" i="8" s="1"/>
  <c r="V190" i="8"/>
  <c r="V189" i="8"/>
  <c r="V187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V180" i="8"/>
  <c r="V179" i="8"/>
  <c r="V178" i="8"/>
  <c r="Q176" i="8"/>
  <c r="P176" i="8"/>
  <c r="O176" i="8"/>
  <c r="V175" i="8"/>
  <c r="V174" i="8"/>
  <c r="K174" i="8"/>
  <c r="J174" i="8"/>
  <c r="I174" i="8"/>
  <c r="H174" i="8"/>
  <c r="V173" i="8"/>
  <c r="N173" i="8"/>
  <c r="M173" i="8"/>
  <c r="L173" i="8"/>
  <c r="K173" i="8"/>
  <c r="J173" i="8"/>
  <c r="I173" i="8"/>
  <c r="H173" i="8"/>
  <c r="G173" i="8"/>
  <c r="F173" i="8"/>
  <c r="V172" i="8"/>
  <c r="V171" i="8"/>
  <c r="S171" i="8"/>
  <c r="M171" i="8"/>
  <c r="L171" i="8"/>
  <c r="K171" i="8"/>
  <c r="J171" i="8"/>
  <c r="I171" i="8"/>
  <c r="H171" i="8"/>
  <c r="F171" i="8"/>
  <c r="V170" i="8"/>
  <c r="S170" i="8"/>
  <c r="R170" i="8"/>
  <c r="R176" i="8" s="1"/>
  <c r="M170" i="8"/>
  <c r="L170" i="8"/>
  <c r="K170" i="8"/>
  <c r="J170" i="8"/>
  <c r="I170" i="8"/>
  <c r="H170" i="8"/>
  <c r="F170" i="8"/>
  <c r="V169" i="8"/>
  <c r="S169" i="8"/>
  <c r="N169" i="8"/>
  <c r="M169" i="8"/>
  <c r="L169" i="8"/>
  <c r="K169" i="8"/>
  <c r="J169" i="8"/>
  <c r="I169" i="8"/>
  <c r="H169" i="8"/>
  <c r="F169" i="8"/>
  <c r="V168" i="8"/>
  <c r="I168" i="8"/>
  <c r="G168" i="8"/>
  <c r="V167" i="8"/>
  <c r="V166" i="8"/>
  <c r="S166" i="8"/>
  <c r="M166" i="8"/>
  <c r="L166" i="8"/>
  <c r="K166" i="8"/>
  <c r="J166" i="8"/>
  <c r="I166" i="8"/>
  <c r="H166" i="8"/>
  <c r="F166" i="8"/>
  <c r="V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V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V132" i="8"/>
  <c r="V131" i="8"/>
  <c r="V130" i="8"/>
  <c r="V127" i="8"/>
  <c r="V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V125" i="8"/>
  <c r="S125" i="8"/>
  <c r="R125" i="8"/>
  <c r="Q125" i="8"/>
  <c r="P125" i="8"/>
  <c r="O125" i="8"/>
  <c r="O128" i="8" s="1"/>
  <c r="N125" i="8"/>
  <c r="M125" i="8"/>
  <c r="L125" i="8"/>
  <c r="K125" i="8"/>
  <c r="J125" i="8"/>
  <c r="I125" i="8"/>
  <c r="H125" i="8"/>
  <c r="G125" i="8"/>
  <c r="F125" i="8"/>
  <c r="V124" i="8"/>
  <c r="S124" i="8"/>
  <c r="R124" i="8"/>
  <c r="Q124" i="8"/>
  <c r="P124" i="8"/>
  <c r="N124" i="8"/>
  <c r="M124" i="8"/>
  <c r="L124" i="8"/>
  <c r="K124" i="8"/>
  <c r="K128" i="8" s="1"/>
  <c r="J124" i="8"/>
  <c r="I124" i="8"/>
  <c r="H124" i="8"/>
  <c r="G124" i="8"/>
  <c r="G128" i="8" s="1"/>
  <c r="F124" i="8"/>
  <c r="Q122" i="8"/>
  <c r="P122" i="8"/>
  <c r="O122" i="8"/>
  <c r="V121" i="8"/>
  <c r="V120" i="8"/>
  <c r="V119" i="8"/>
  <c r="K119" i="8"/>
  <c r="J119" i="8"/>
  <c r="I119" i="8"/>
  <c r="H119" i="8"/>
  <c r="V118" i="8"/>
  <c r="S118" i="8"/>
  <c r="M118" i="8"/>
  <c r="L118" i="8"/>
  <c r="K118" i="8"/>
  <c r="J118" i="8"/>
  <c r="I118" i="8"/>
  <c r="H118" i="8"/>
  <c r="F118" i="8"/>
  <c r="V117" i="8"/>
  <c r="S117" i="8"/>
  <c r="R117" i="8"/>
  <c r="R122" i="8" s="1"/>
  <c r="M117" i="8"/>
  <c r="L117" i="8"/>
  <c r="K117" i="8"/>
  <c r="J117" i="8"/>
  <c r="I117" i="8"/>
  <c r="H117" i="8"/>
  <c r="F117" i="8"/>
  <c r="V116" i="8"/>
  <c r="S116" i="8"/>
  <c r="N116" i="8"/>
  <c r="M116" i="8"/>
  <c r="L116" i="8"/>
  <c r="K116" i="8"/>
  <c r="J116" i="8"/>
  <c r="I116" i="8"/>
  <c r="H116" i="8"/>
  <c r="F116" i="8"/>
  <c r="V115" i="8"/>
  <c r="N115" i="8"/>
  <c r="N122" i="8" s="1"/>
  <c r="M115" i="8"/>
  <c r="L115" i="8"/>
  <c r="K115" i="8"/>
  <c r="J115" i="8"/>
  <c r="I115" i="8"/>
  <c r="H115" i="8"/>
  <c r="H122" i="8" s="1"/>
  <c r="G115" i="8"/>
  <c r="F115" i="8"/>
  <c r="F122" i="8" s="1"/>
  <c r="V114" i="8"/>
  <c r="I114" i="8"/>
  <c r="G114" i="8"/>
  <c r="G122" i="8" s="1"/>
  <c r="V113" i="8"/>
  <c r="V112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V97" i="8"/>
  <c r="V96" i="8"/>
  <c r="V95" i="8"/>
  <c r="L93" i="8"/>
  <c r="V92" i="8"/>
  <c r="S92" i="8"/>
  <c r="S93" i="8" s="1"/>
  <c r="R92" i="8"/>
  <c r="R93" i="8" s="1"/>
  <c r="Q92" i="8"/>
  <c r="Q93" i="8" s="1"/>
  <c r="P92" i="8"/>
  <c r="P93" i="8" s="1"/>
  <c r="O92" i="8"/>
  <c r="O93" i="8" s="1"/>
  <c r="N92" i="8"/>
  <c r="M92" i="8"/>
  <c r="L92" i="8"/>
  <c r="K92" i="8"/>
  <c r="K93" i="8" s="1"/>
  <c r="J92" i="8"/>
  <c r="J93" i="8" s="1"/>
  <c r="I92" i="8"/>
  <c r="H92" i="8"/>
  <c r="G92" i="8"/>
  <c r="G93" i="8" s="1"/>
  <c r="F92" i="8"/>
  <c r="V91" i="8"/>
  <c r="V90" i="8"/>
  <c r="N90" i="8"/>
  <c r="M90" i="8"/>
  <c r="I90" i="8"/>
  <c r="I93" i="8" s="1"/>
  <c r="H90" i="8"/>
  <c r="H93" i="8" s="1"/>
  <c r="F90" i="8"/>
  <c r="Q88" i="8"/>
  <c r="P88" i="8"/>
  <c r="O88" i="8"/>
  <c r="V87" i="8"/>
  <c r="V86" i="8"/>
  <c r="V85" i="8"/>
  <c r="K85" i="8"/>
  <c r="J85" i="8"/>
  <c r="I85" i="8"/>
  <c r="H85" i="8"/>
  <c r="V84" i="8"/>
  <c r="S84" i="8"/>
  <c r="M84" i="8"/>
  <c r="L84" i="8"/>
  <c r="K84" i="8"/>
  <c r="J84" i="8"/>
  <c r="I84" i="8"/>
  <c r="H84" i="8"/>
  <c r="F84" i="8"/>
  <c r="V83" i="8"/>
  <c r="S83" i="8"/>
  <c r="R83" i="8"/>
  <c r="M83" i="8"/>
  <c r="L83" i="8"/>
  <c r="K83" i="8"/>
  <c r="J83" i="8"/>
  <c r="I83" i="8"/>
  <c r="H83" i="8"/>
  <c r="F83" i="8"/>
  <c r="V82" i="8"/>
  <c r="S82" i="8"/>
  <c r="N82" i="8"/>
  <c r="M82" i="8"/>
  <c r="L82" i="8"/>
  <c r="K82" i="8"/>
  <c r="J82" i="8"/>
  <c r="I82" i="8"/>
  <c r="H82" i="8"/>
  <c r="F82" i="8"/>
  <c r="V81" i="8"/>
  <c r="N81" i="8"/>
  <c r="M81" i="8"/>
  <c r="L81" i="8"/>
  <c r="K81" i="8"/>
  <c r="J81" i="8"/>
  <c r="I81" i="8"/>
  <c r="H81" i="8"/>
  <c r="G81" i="8"/>
  <c r="F81" i="8"/>
  <c r="V80" i="8"/>
  <c r="I80" i="8"/>
  <c r="G80" i="8"/>
  <c r="V79" i="8"/>
  <c r="V78" i="8"/>
  <c r="V77" i="8"/>
  <c r="I77" i="8"/>
  <c r="G77" i="8"/>
  <c r="V76" i="8"/>
  <c r="S76" i="8"/>
  <c r="R76" i="8"/>
  <c r="N76" i="8"/>
  <c r="M76" i="8"/>
  <c r="L76" i="8"/>
  <c r="K76" i="8"/>
  <c r="J76" i="8"/>
  <c r="I76" i="8"/>
  <c r="G76" i="8"/>
  <c r="F76" i="8"/>
  <c r="V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V40" i="8"/>
  <c r="V39" i="8"/>
  <c r="V38" i="8"/>
  <c r="T36" i="8"/>
  <c r="F36" i="8"/>
  <c r="V35" i="8"/>
  <c r="S35" i="8"/>
  <c r="S36" i="8" s="1"/>
  <c r="R35" i="8"/>
  <c r="R36" i="8" s="1"/>
  <c r="Q35" i="8"/>
  <c r="Q36" i="8" s="1"/>
  <c r="P35" i="8"/>
  <c r="P36" i="8" s="1"/>
  <c r="O35" i="8"/>
  <c r="O36" i="8" s="1"/>
  <c r="N35" i="8"/>
  <c r="N36" i="8" s="1"/>
  <c r="M35" i="8"/>
  <c r="M36" i="8" s="1"/>
  <c r="L35" i="8"/>
  <c r="L36" i="8" s="1"/>
  <c r="K35" i="8"/>
  <c r="K36" i="8" s="1"/>
  <c r="J35" i="8"/>
  <c r="J36" i="8" s="1"/>
  <c r="I35" i="8"/>
  <c r="I36" i="8" s="1"/>
  <c r="H35" i="8"/>
  <c r="H36" i="8" s="1"/>
  <c r="G35" i="8"/>
  <c r="G36" i="8" s="1"/>
  <c r="F35" i="8"/>
  <c r="V34" i="8"/>
  <c r="V33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V30" i="8"/>
  <c r="V29" i="8"/>
  <c r="V28" i="8"/>
  <c r="V27" i="8"/>
  <c r="V26" i="8"/>
  <c r="V25" i="8"/>
  <c r="V24" i="8"/>
  <c r="V23" i="8"/>
  <c r="V22" i="8"/>
  <c r="V31" i="8" s="1"/>
  <c r="V19" i="8"/>
  <c r="V20" i="8" s="1"/>
  <c r="N19" i="8"/>
  <c r="M19" i="8"/>
  <c r="L19" i="8"/>
  <c r="K19" i="8"/>
  <c r="J19" i="8"/>
  <c r="I19" i="8"/>
  <c r="G19" i="8"/>
  <c r="F19" i="8"/>
  <c r="V13" i="8"/>
  <c r="V12" i="8"/>
  <c r="V11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S8" i="8"/>
  <c r="S9" i="8" s="1"/>
  <c r="R8" i="8"/>
  <c r="R9" i="8" s="1"/>
  <c r="Q8" i="8"/>
  <c r="Q9" i="8" s="1"/>
  <c r="P8" i="8"/>
  <c r="P9" i="8" s="1"/>
  <c r="O8" i="8"/>
  <c r="O9" i="8" s="1"/>
  <c r="N8" i="8"/>
  <c r="N9" i="8" s="1"/>
  <c r="M8" i="8"/>
  <c r="M9" i="8" s="1"/>
  <c r="L8" i="8"/>
  <c r="L9" i="8" s="1"/>
  <c r="K8" i="8"/>
  <c r="K9" i="8" s="1"/>
  <c r="J8" i="8"/>
  <c r="J9" i="8" s="1"/>
  <c r="I8" i="8"/>
  <c r="H8" i="8"/>
  <c r="G8" i="8"/>
  <c r="F8" i="8"/>
  <c r="I7" i="8"/>
  <c r="I9" i="8" s="1"/>
  <c r="H7" i="8"/>
  <c r="H9" i="8" s="1"/>
  <c r="G7" i="8"/>
  <c r="G9" i="8" s="1"/>
  <c r="F7" i="8"/>
  <c r="F9" i="8" s="1"/>
  <c r="V223" i="4"/>
  <c r="V224" i="4"/>
  <c r="V225" i="4"/>
  <c r="V226" i="4"/>
  <c r="V227" i="4"/>
  <c r="V228" i="4"/>
  <c r="V229" i="4"/>
  <c r="V230" i="4"/>
  <c r="V231" i="4"/>
  <c r="V232" i="4"/>
  <c r="V235" i="4"/>
  <c r="V236" i="4"/>
  <c r="V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F21" i="7"/>
  <c r="G21" i="7"/>
  <c r="I21" i="7"/>
  <c r="J21" i="7"/>
  <c r="K21" i="7"/>
  <c r="L21" i="7"/>
  <c r="M21" i="7"/>
  <c r="N21" i="7"/>
  <c r="V21" i="7"/>
  <c r="V22" i="7" s="1"/>
  <c r="V24" i="7"/>
  <c r="V25" i="7"/>
  <c r="V13" i="7"/>
  <c r="V12" i="7"/>
  <c r="V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L9" i="7"/>
  <c r="S8" i="7"/>
  <c r="S9" i="7" s="1"/>
  <c r="R8" i="7"/>
  <c r="R9" i="7" s="1"/>
  <c r="Q8" i="7"/>
  <c r="Q9" i="7" s="1"/>
  <c r="P8" i="7"/>
  <c r="P9" i="7" s="1"/>
  <c r="O8" i="7"/>
  <c r="O9" i="7" s="1"/>
  <c r="N8" i="7"/>
  <c r="N9" i="7" s="1"/>
  <c r="M8" i="7"/>
  <c r="M9" i="7" s="1"/>
  <c r="L8" i="7"/>
  <c r="K8" i="7"/>
  <c r="K9" i="7" s="1"/>
  <c r="J8" i="7"/>
  <c r="J9" i="7" s="1"/>
  <c r="I8" i="7"/>
  <c r="H8" i="7"/>
  <c r="G8" i="7"/>
  <c r="F8" i="7"/>
  <c r="I7" i="7"/>
  <c r="I9" i="7" s="1"/>
  <c r="H7" i="7"/>
  <c r="H9" i="7" s="1"/>
  <c r="G7" i="7"/>
  <c r="G9" i="7" s="1"/>
  <c r="F7" i="7"/>
  <c r="F9" i="7" s="1"/>
  <c r="V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F168" i="6"/>
  <c r="H168" i="6"/>
  <c r="I168" i="6"/>
  <c r="J168" i="6"/>
  <c r="K168" i="6"/>
  <c r="L168" i="6"/>
  <c r="M168" i="6"/>
  <c r="S168" i="6"/>
  <c r="V168" i="6"/>
  <c r="V169" i="6"/>
  <c r="G170" i="6"/>
  <c r="I170" i="6"/>
  <c r="V170" i="6"/>
  <c r="F171" i="6"/>
  <c r="H171" i="6"/>
  <c r="I171" i="6"/>
  <c r="J171" i="6"/>
  <c r="K171" i="6"/>
  <c r="L171" i="6"/>
  <c r="M171" i="6"/>
  <c r="N171" i="6"/>
  <c r="S171" i="6"/>
  <c r="V171" i="6"/>
  <c r="F172" i="6"/>
  <c r="H172" i="6"/>
  <c r="I172" i="6"/>
  <c r="J172" i="6"/>
  <c r="K172" i="6"/>
  <c r="L172" i="6"/>
  <c r="M172" i="6"/>
  <c r="R172" i="6"/>
  <c r="S172" i="6"/>
  <c r="V172" i="6"/>
  <c r="F173" i="6"/>
  <c r="H173" i="6"/>
  <c r="I173" i="6"/>
  <c r="J173" i="6"/>
  <c r="K173" i="6"/>
  <c r="L173" i="6"/>
  <c r="M173" i="6"/>
  <c r="S173" i="6"/>
  <c r="V173" i="6"/>
  <c r="V13" i="6"/>
  <c r="V12" i="6"/>
  <c r="V11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S8" i="6"/>
  <c r="S9" i="6" s="1"/>
  <c r="R8" i="6"/>
  <c r="R9" i="6" s="1"/>
  <c r="Q8" i="6"/>
  <c r="Q9" i="6" s="1"/>
  <c r="P8" i="6"/>
  <c r="P9" i="6" s="1"/>
  <c r="O8" i="6"/>
  <c r="O9" i="6" s="1"/>
  <c r="N8" i="6"/>
  <c r="N9" i="6" s="1"/>
  <c r="M8" i="6"/>
  <c r="M9" i="6" s="1"/>
  <c r="L8" i="6"/>
  <c r="L9" i="6" s="1"/>
  <c r="K8" i="6"/>
  <c r="K9" i="6" s="1"/>
  <c r="J8" i="6"/>
  <c r="J9" i="6" s="1"/>
  <c r="I8" i="6"/>
  <c r="H8" i="6"/>
  <c r="G8" i="6"/>
  <c r="F8" i="6"/>
  <c r="I7" i="6"/>
  <c r="I9" i="6" s="1"/>
  <c r="H7" i="6"/>
  <c r="H9" i="6" s="1"/>
  <c r="G7" i="6"/>
  <c r="G9" i="6" s="1"/>
  <c r="F7" i="6"/>
  <c r="F9" i="6" s="1"/>
  <c r="S231" i="7"/>
  <c r="R231" i="7"/>
  <c r="Q231" i="7"/>
  <c r="P231" i="7"/>
  <c r="O231" i="7"/>
  <c r="N231" i="7"/>
  <c r="M231" i="7"/>
  <c r="L231" i="7"/>
  <c r="K231" i="7"/>
  <c r="J231" i="7"/>
  <c r="I231" i="7"/>
  <c r="H231" i="7"/>
  <c r="G231" i="7"/>
  <c r="F231" i="7"/>
  <c r="V230" i="7"/>
  <c r="V229" i="7"/>
  <c r="V228" i="7"/>
  <c r="V227" i="7"/>
  <c r="V226" i="7"/>
  <c r="V225" i="7"/>
  <c r="V224" i="7"/>
  <c r="V231" i="7" s="1"/>
  <c r="V212" i="7"/>
  <c r="S212" i="7"/>
  <c r="R212" i="7"/>
  <c r="Q212" i="7"/>
  <c r="P212" i="7"/>
  <c r="O212" i="7"/>
  <c r="N212" i="7"/>
  <c r="M212" i="7"/>
  <c r="L212" i="7"/>
  <c r="K212" i="7"/>
  <c r="J212" i="7"/>
  <c r="I212" i="7"/>
  <c r="H212" i="7"/>
  <c r="G212" i="7"/>
  <c r="F212" i="7"/>
  <c r="V211" i="7"/>
  <c r="V210" i="7"/>
  <c r="S208" i="7"/>
  <c r="R208" i="7"/>
  <c r="Q208" i="7"/>
  <c r="P208" i="7"/>
  <c r="O208" i="7"/>
  <c r="N208" i="7"/>
  <c r="M208" i="7"/>
  <c r="L208" i="7"/>
  <c r="K208" i="7"/>
  <c r="J208" i="7"/>
  <c r="I208" i="7"/>
  <c r="H208" i="7"/>
  <c r="G208" i="7"/>
  <c r="F208" i="7"/>
  <c r="V207" i="7"/>
  <c r="V206" i="7"/>
  <c r="V205" i="7"/>
  <c r="V204" i="7"/>
  <c r="V203" i="7"/>
  <c r="V202" i="7"/>
  <c r="V201" i="7"/>
  <c r="V200" i="7"/>
  <c r="S197" i="7"/>
  <c r="R197" i="7"/>
  <c r="Q197" i="7"/>
  <c r="P197" i="7"/>
  <c r="O197" i="7"/>
  <c r="N197" i="7"/>
  <c r="M197" i="7"/>
  <c r="L197" i="7"/>
  <c r="K197" i="7"/>
  <c r="J197" i="7"/>
  <c r="I197" i="7"/>
  <c r="G197" i="7"/>
  <c r="F197" i="7"/>
  <c r="V196" i="7"/>
  <c r="V195" i="7"/>
  <c r="V194" i="7"/>
  <c r="I194" i="7"/>
  <c r="H194" i="7"/>
  <c r="H197" i="7" s="1"/>
  <c r="G194" i="7"/>
  <c r="V193" i="7"/>
  <c r="V192" i="7"/>
  <c r="V190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G184" i="7"/>
  <c r="F184" i="7"/>
  <c r="V183" i="7"/>
  <c r="V182" i="7"/>
  <c r="V181" i="7"/>
  <c r="Q179" i="7"/>
  <c r="P179" i="7"/>
  <c r="O179" i="7"/>
  <c r="V178" i="7"/>
  <c r="V177" i="7"/>
  <c r="K177" i="7"/>
  <c r="J177" i="7"/>
  <c r="I177" i="7"/>
  <c r="H177" i="7"/>
  <c r="V176" i="7"/>
  <c r="N176" i="7"/>
  <c r="N179" i="7" s="1"/>
  <c r="M176" i="7"/>
  <c r="L176" i="7"/>
  <c r="K176" i="7"/>
  <c r="J176" i="7"/>
  <c r="I176" i="7"/>
  <c r="H176" i="7"/>
  <c r="G176" i="7"/>
  <c r="F176" i="7"/>
  <c r="V175" i="7"/>
  <c r="V174" i="7"/>
  <c r="S174" i="7"/>
  <c r="M174" i="7"/>
  <c r="L174" i="7"/>
  <c r="K174" i="7"/>
  <c r="J174" i="7"/>
  <c r="I174" i="7"/>
  <c r="H174" i="7"/>
  <c r="F174" i="7"/>
  <c r="V173" i="7"/>
  <c r="S173" i="7"/>
  <c r="R173" i="7"/>
  <c r="R179" i="7" s="1"/>
  <c r="M173" i="7"/>
  <c r="L173" i="7"/>
  <c r="K173" i="7"/>
  <c r="J173" i="7"/>
  <c r="I173" i="7"/>
  <c r="H173" i="7"/>
  <c r="F173" i="7"/>
  <c r="V172" i="7"/>
  <c r="S172" i="7"/>
  <c r="N172" i="7"/>
  <c r="M172" i="7"/>
  <c r="L172" i="7"/>
  <c r="K172" i="7"/>
  <c r="J172" i="7"/>
  <c r="I172" i="7"/>
  <c r="H172" i="7"/>
  <c r="F172" i="7"/>
  <c r="V171" i="7"/>
  <c r="I171" i="7"/>
  <c r="G171" i="7"/>
  <c r="G179" i="7" s="1"/>
  <c r="V170" i="7"/>
  <c r="V169" i="7"/>
  <c r="S169" i="7"/>
  <c r="S179" i="7" s="1"/>
  <c r="M169" i="7"/>
  <c r="L169" i="7"/>
  <c r="L179" i="7" s="1"/>
  <c r="K169" i="7"/>
  <c r="J169" i="7"/>
  <c r="J179" i="7" s="1"/>
  <c r="I169" i="7"/>
  <c r="H169" i="7"/>
  <c r="H179" i="7" s="1"/>
  <c r="F169" i="7"/>
  <c r="V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V134" i="7"/>
  <c r="V133" i="7"/>
  <c r="V135" i="7" s="1"/>
  <c r="V132" i="7"/>
  <c r="V129" i="7"/>
  <c r="V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V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V126" i="7"/>
  <c r="S126" i="7"/>
  <c r="S130" i="7" s="1"/>
  <c r="R126" i="7"/>
  <c r="Q126" i="7"/>
  <c r="P126" i="7"/>
  <c r="N126" i="7"/>
  <c r="N130" i="7" s="1"/>
  <c r="M126" i="7"/>
  <c r="L126" i="7"/>
  <c r="K126" i="7"/>
  <c r="J126" i="7"/>
  <c r="J130" i="7" s="1"/>
  <c r="I126" i="7"/>
  <c r="H126" i="7"/>
  <c r="G126" i="7"/>
  <c r="F126" i="7"/>
  <c r="F130" i="7" s="1"/>
  <c r="Q124" i="7"/>
  <c r="P124" i="7"/>
  <c r="O124" i="7"/>
  <c r="V123" i="7"/>
  <c r="V122" i="7"/>
  <c r="V121" i="7"/>
  <c r="K121" i="7"/>
  <c r="J121" i="7"/>
  <c r="I121" i="7"/>
  <c r="H121" i="7"/>
  <c r="V120" i="7"/>
  <c r="S120" i="7"/>
  <c r="M120" i="7"/>
  <c r="L120" i="7"/>
  <c r="K120" i="7"/>
  <c r="J120" i="7"/>
  <c r="I120" i="7"/>
  <c r="H120" i="7"/>
  <c r="F120" i="7"/>
  <c r="V119" i="7"/>
  <c r="S119" i="7"/>
  <c r="R119" i="7"/>
  <c r="R124" i="7" s="1"/>
  <c r="M119" i="7"/>
  <c r="L119" i="7"/>
  <c r="K119" i="7"/>
  <c r="J119" i="7"/>
  <c r="I119" i="7"/>
  <c r="H119" i="7"/>
  <c r="F119" i="7"/>
  <c r="V118" i="7"/>
  <c r="S118" i="7"/>
  <c r="N118" i="7"/>
  <c r="M118" i="7"/>
  <c r="L118" i="7"/>
  <c r="K118" i="7"/>
  <c r="J118" i="7"/>
  <c r="I118" i="7"/>
  <c r="H118" i="7"/>
  <c r="F118" i="7"/>
  <c r="V117" i="7"/>
  <c r="N117" i="7"/>
  <c r="M117" i="7"/>
  <c r="L117" i="7"/>
  <c r="L124" i="7" s="1"/>
  <c r="K117" i="7"/>
  <c r="K124" i="7" s="1"/>
  <c r="J117" i="7"/>
  <c r="I117" i="7"/>
  <c r="H117" i="7"/>
  <c r="G117" i="7"/>
  <c r="F117" i="7"/>
  <c r="F124" i="7" s="1"/>
  <c r="V116" i="7"/>
  <c r="I116" i="7"/>
  <c r="G116" i="7"/>
  <c r="G124" i="7" s="1"/>
  <c r="V115" i="7"/>
  <c r="V114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V99" i="7"/>
  <c r="V98" i="7"/>
  <c r="V97" i="7"/>
  <c r="P95" i="7"/>
  <c r="L95" i="7"/>
  <c r="H95" i="7"/>
  <c r="V94" i="7"/>
  <c r="S94" i="7"/>
  <c r="S95" i="7" s="1"/>
  <c r="R94" i="7"/>
  <c r="R95" i="7" s="1"/>
  <c r="Q94" i="7"/>
  <c r="Q95" i="7" s="1"/>
  <c r="P94" i="7"/>
  <c r="O94" i="7"/>
  <c r="O95" i="7" s="1"/>
  <c r="N94" i="7"/>
  <c r="M94" i="7"/>
  <c r="L94" i="7"/>
  <c r="K94" i="7"/>
  <c r="K95" i="7" s="1"/>
  <c r="J94" i="7"/>
  <c r="J95" i="7" s="1"/>
  <c r="I94" i="7"/>
  <c r="H94" i="7"/>
  <c r="G94" i="7"/>
  <c r="G95" i="7" s="1"/>
  <c r="F94" i="7"/>
  <c r="V93" i="7"/>
  <c r="V95" i="7" s="1"/>
  <c r="V92" i="7"/>
  <c r="N92" i="7"/>
  <c r="N95" i="7" s="1"/>
  <c r="M92" i="7"/>
  <c r="M95" i="7" s="1"/>
  <c r="I92" i="7"/>
  <c r="I95" i="7" s="1"/>
  <c r="H92" i="7"/>
  <c r="F92" i="7"/>
  <c r="F95" i="7" s="1"/>
  <c r="Q90" i="7"/>
  <c r="P90" i="7"/>
  <c r="O90" i="7"/>
  <c r="V89" i="7"/>
  <c r="V88" i="7"/>
  <c r="V87" i="7"/>
  <c r="K87" i="7"/>
  <c r="J87" i="7"/>
  <c r="I87" i="7"/>
  <c r="H87" i="7"/>
  <c r="V86" i="7"/>
  <c r="S86" i="7"/>
  <c r="M86" i="7"/>
  <c r="L86" i="7"/>
  <c r="K86" i="7"/>
  <c r="J86" i="7"/>
  <c r="I86" i="7"/>
  <c r="H86" i="7"/>
  <c r="F86" i="7"/>
  <c r="V85" i="7"/>
  <c r="S85" i="7"/>
  <c r="R85" i="7"/>
  <c r="M85" i="7"/>
  <c r="L85" i="7"/>
  <c r="K85" i="7"/>
  <c r="J85" i="7"/>
  <c r="I85" i="7"/>
  <c r="H85" i="7"/>
  <c r="F85" i="7"/>
  <c r="V84" i="7"/>
  <c r="S84" i="7"/>
  <c r="N84" i="7"/>
  <c r="M84" i="7"/>
  <c r="L84" i="7"/>
  <c r="L90" i="7" s="1"/>
  <c r="K84" i="7"/>
  <c r="J84" i="7"/>
  <c r="I84" i="7"/>
  <c r="H84" i="7"/>
  <c r="F84" i="7"/>
  <c r="V83" i="7"/>
  <c r="N83" i="7"/>
  <c r="M83" i="7"/>
  <c r="L83" i="7"/>
  <c r="K83" i="7"/>
  <c r="J83" i="7"/>
  <c r="I83" i="7"/>
  <c r="H83" i="7"/>
  <c r="H90" i="7" s="1"/>
  <c r="G83" i="7"/>
  <c r="F83" i="7"/>
  <c r="V82" i="7"/>
  <c r="I82" i="7"/>
  <c r="G82" i="7"/>
  <c r="V81" i="7"/>
  <c r="V80" i="7"/>
  <c r="V79" i="7"/>
  <c r="I79" i="7"/>
  <c r="G79" i="7"/>
  <c r="V78" i="7"/>
  <c r="S78" i="7"/>
  <c r="R78" i="7"/>
  <c r="R90" i="7" s="1"/>
  <c r="N78" i="7"/>
  <c r="M78" i="7"/>
  <c r="L78" i="7"/>
  <c r="K78" i="7"/>
  <c r="K90" i="7" s="1"/>
  <c r="J78" i="7"/>
  <c r="I78" i="7"/>
  <c r="G78" i="7"/>
  <c r="F78" i="7"/>
  <c r="F90" i="7" s="1"/>
  <c r="V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V42" i="7"/>
  <c r="V41" i="7"/>
  <c r="V40" i="7"/>
  <c r="T38" i="7"/>
  <c r="Q38" i="7"/>
  <c r="M38" i="7"/>
  <c r="I38" i="7"/>
  <c r="V37" i="7"/>
  <c r="S37" i="7"/>
  <c r="S38" i="7" s="1"/>
  <c r="R37" i="7"/>
  <c r="R38" i="7" s="1"/>
  <c r="Q37" i="7"/>
  <c r="P37" i="7"/>
  <c r="P38" i="7" s="1"/>
  <c r="O37" i="7"/>
  <c r="O38" i="7" s="1"/>
  <c r="N37" i="7"/>
  <c r="N38" i="7" s="1"/>
  <c r="M37" i="7"/>
  <c r="L37" i="7"/>
  <c r="L38" i="7" s="1"/>
  <c r="K37" i="7"/>
  <c r="K38" i="7" s="1"/>
  <c r="J37" i="7"/>
  <c r="J38" i="7" s="1"/>
  <c r="I37" i="7"/>
  <c r="H37" i="7"/>
  <c r="H38" i="7" s="1"/>
  <c r="G37" i="7"/>
  <c r="G38" i="7" s="1"/>
  <c r="F37" i="7"/>
  <c r="F38" i="7" s="1"/>
  <c r="V36" i="7"/>
  <c r="V35" i="7"/>
  <c r="V38" i="7" s="1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V32" i="7"/>
  <c r="V31" i="7"/>
  <c r="V30" i="7"/>
  <c r="V29" i="7"/>
  <c r="V28" i="7"/>
  <c r="V27" i="7"/>
  <c r="V26" i="7"/>
  <c r="I90" i="7" l="1"/>
  <c r="V14" i="7"/>
  <c r="V133" i="8"/>
  <c r="F22" i="9"/>
  <c r="J22" i="9"/>
  <c r="N22" i="9"/>
  <c r="R22" i="9"/>
  <c r="V33" i="7"/>
  <c r="G90" i="7"/>
  <c r="J90" i="7"/>
  <c r="N90" i="7"/>
  <c r="S90" i="7"/>
  <c r="M90" i="7"/>
  <c r="V100" i="7"/>
  <c r="H124" i="7"/>
  <c r="J124" i="7"/>
  <c r="N124" i="7"/>
  <c r="I124" i="7"/>
  <c r="M124" i="7"/>
  <c r="Q130" i="7"/>
  <c r="F179" i="7"/>
  <c r="V197" i="7"/>
  <c r="F136" i="10"/>
  <c r="F154" i="10" s="1"/>
  <c r="F152" i="10"/>
  <c r="H136" i="10"/>
  <c r="H154" i="10" s="1"/>
  <c r="H152" i="10"/>
  <c r="J136" i="10"/>
  <c r="J154" i="10" s="1"/>
  <c r="J152" i="10"/>
  <c r="L136" i="10"/>
  <c r="L154" i="10" s="1"/>
  <c r="L152" i="10"/>
  <c r="N136" i="10"/>
  <c r="N154" i="10" s="1"/>
  <c r="N152" i="10"/>
  <c r="P136" i="10"/>
  <c r="P154" i="10" s="1"/>
  <c r="P152" i="10"/>
  <c r="R136" i="10"/>
  <c r="R154" i="10" s="1"/>
  <c r="R152" i="10"/>
  <c r="S124" i="7"/>
  <c r="G130" i="7"/>
  <c r="I130" i="7"/>
  <c r="K130" i="7"/>
  <c r="M130" i="7"/>
  <c r="R130" i="7"/>
  <c r="O130" i="7"/>
  <c r="H130" i="7"/>
  <c r="L130" i="7"/>
  <c r="P130" i="7"/>
  <c r="V130" i="7"/>
  <c r="I179" i="7"/>
  <c r="K179" i="7"/>
  <c r="M179" i="7"/>
  <c r="V179" i="7"/>
  <c r="V184" i="7"/>
  <c r="V208" i="7"/>
  <c r="V14" i="6"/>
  <c r="V233" i="4"/>
  <c r="V41" i="8"/>
  <c r="G88" i="8"/>
  <c r="N88" i="8"/>
  <c r="S88" i="8"/>
  <c r="H88" i="8"/>
  <c r="L88" i="8"/>
  <c r="M93" i="8"/>
  <c r="V93" i="8"/>
  <c r="V98" i="8"/>
  <c r="M122" i="8"/>
  <c r="L122" i="8"/>
  <c r="F128" i="8"/>
  <c r="J128" i="8"/>
  <c r="N128" i="8"/>
  <c r="S128" i="8"/>
  <c r="L128" i="8"/>
  <c r="F176" i="8"/>
  <c r="K176" i="8"/>
  <c r="N176" i="8"/>
  <c r="V205" i="8"/>
  <c r="V228" i="8"/>
  <c r="F163" i="9"/>
  <c r="H163" i="9"/>
  <c r="L163" i="9"/>
  <c r="Q163" i="9"/>
  <c r="N163" i="9"/>
  <c r="E163" i="10"/>
  <c r="G163" i="10"/>
  <c r="I163" i="10"/>
  <c r="K163" i="10"/>
  <c r="M163" i="10"/>
  <c r="P163" i="10"/>
  <c r="R163" i="10"/>
  <c r="E83" i="10"/>
  <c r="G83" i="10"/>
  <c r="I83" i="10"/>
  <c r="K83" i="10"/>
  <c r="M83" i="10"/>
  <c r="P83" i="10"/>
  <c r="E152" i="10"/>
  <c r="G152" i="10"/>
  <c r="I152" i="10"/>
  <c r="K152" i="10"/>
  <c r="M152" i="10"/>
  <c r="O152" i="10"/>
  <c r="Q152" i="10"/>
  <c r="H22" i="9"/>
  <c r="L22" i="9"/>
  <c r="P22" i="9"/>
  <c r="J163" i="9"/>
  <c r="O163" i="9"/>
  <c r="E22" i="9"/>
  <c r="I22" i="9"/>
  <c r="M22" i="9"/>
  <c r="Q22" i="9"/>
  <c r="G163" i="9"/>
  <c r="K163" i="9"/>
  <c r="P163" i="9"/>
  <c r="M163" i="9"/>
  <c r="I88" i="8"/>
  <c r="M88" i="8"/>
  <c r="F93" i="8"/>
  <c r="N93" i="8"/>
  <c r="J122" i="8"/>
  <c r="V122" i="8"/>
  <c r="H176" i="8"/>
  <c r="L176" i="8"/>
  <c r="V176" i="8"/>
  <c r="V14" i="8"/>
  <c r="J88" i="8"/>
  <c r="K122" i="8"/>
  <c r="Q128" i="8"/>
  <c r="I176" i="8"/>
  <c r="M176" i="8"/>
  <c r="G176" i="8"/>
  <c r="V36" i="8"/>
  <c r="F88" i="8"/>
  <c r="K88" i="8"/>
  <c r="R88" i="8"/>
  <c r="I122" i="8"/>
  <c r="S122" i="8"/>
  <c r="I128" i="8"/>
  <c r="M128" i="8"/>
  <c r="R128" i="8"/>
  <c r="H128" i="8"/>
  <c r="P128" i="8"/>
  <c r="V128" i="8"/>
  <c r="J176" i="8"/>
  <c r="S176" i="8"/>
  <c r="V181" i="8"/>
  <c r="V194" i="8"/>
  <c r="V43" i="7"/>
  <c r="V124" i="7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V229" i="6"/>
  <c r="V228" i="6"/>
  <c r="V227" i="6"/>
  <c r="V226" i="6"/>
  <c r="V225" i="6"/>
  <c r="V224" i="6"/>
  <c r="V230" i="6" s="1"/>
  <c r="V223" i="6"/>
  <c r="V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V210" i="6"/>
  <c r="V209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V206" i="6"/>
  <c r="V205" i="6"/>
  <c r="V204" i="6"/>
  <c r="V203" i="6"/>
  <c r="V202" i="6"/>
  <c r="V201" i="6"/>
  <c r="V200" i="6"/>
  <c r="V199" i="6"/>
  <c r="S196" i="6"/>
  <c r="R196" i="6"/>
  <c r="Q196" i="6"/>
  <c r="P196" i="6"/>
  <c r="O196" i="6"/>
  <c r="N196" i="6"/>
  <c r="M196" i="6"/>
  <c r="L196" i="6"/>
  <c r="K196" i="6"/>
  <c r="J196" i="6"/>
  <c r="G196" i="6"/>
  <c r="F196" i="6"/>
  <c r="V195" i="6"/>
  <c r="V194" i="6"/>
  <c r="V193" i="6"/>
  <c r="I193" i="6"/>
  <c r="I196" i="6" s="1"/>
  <c r="H193" i="6"/>
  <c r="H196" i="6" s="1"/>
  <c r="G193" i="6"/>
  <c r="V192" i="6"/>
  <c r="V191" i="6"/>
  <c r="V189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V182" i="6"/>
  <c r="V181" i="6"/>
  <c r="V180" i="6"/>
  <c r="Q178" i="6"/>
  <c r="P178" i="6"/>
  <c r="O178" i="6"/>
  <c r="V177" i="6"/>
  <c r="V176" i="6"/>
  <c r="V178" i="6" s="1"/>
  <c r="K176" i="6"/>
  <c r="J176" i="6"/>
  <c r="I176" i="6"/>
  <c r="H176" i="6"/>
  <c r="V175" i="6"/>
  <c r="N175" i="6"/>
  <c r="N178" i="6" s="1"/>
  <c r="M175" i="6"/>
  <c r="L175" i="6"/>
  <c r="K175" i="6"/>
  <c r="J175" i="6"/>
  <c r="I175" i="6"/>
  <c r="H175" i="6"/>
  <c r="G175" i="6"/>
  <c r="F175" i="6"/>
  <c r="F178" i="6" s="1"/>
  <c r="V174" i="6"/>
  <c r="R178" i="6"/>
  <c r="G178" i="6"/>
  <c r="S178" i="6"/>
  <c r="M178" i="6"/>
  <c r="L178" i="6"/>
  <c r="K178" i="6"/>
  <c r="J178" i="6"/>
  <c r="I178" i="6"/>
  <c r="H178" i="6"/>
  <c r="V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V134" i="6"/>
  <c r="V133" i="6"/>
  <c r="V132" i="6"/>
  <c r="V129" i="6"/>
  <c r="V128" i="6"/>
  <c r="S128" i="6"/>
  <c r="R128" i="6"/>
  <c r="Q128" i="6"/>
  <c r="P128" i="6"/>
  <c r="O128" i="6"/>
  <c r="O130" i="6" s="1"/>
  <c r="N128" i="6"/>
  <c r="M128" i="6"/>
  <c r="L128" i="6"/>
  <c r="K128" i="6"/>
  <c r="K130" i="6" s="1"/>
  <c r="J128" i="6"/>
  <c r="I128" i="6"/>
  <c r="H128" i="6"/>
  <c r="G128" i="6"/>
  <c r="G130" i="6" s="1"/>
  <c r="F128" i="6"/>
  <c r="V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V126" i="6"/>
  <c r="S126" i="6"/>
  <c r="R126" i="6"/>
  <c r="Q126" i="6"/>
  <c r="Q130" i="6" s="1"/>
  <c r="P126" i="6"/>
  <c r="N126" i="6"/>
  <c r="N130" i="6" s="1"/>
  <c r="M126" i="6"/>
  <c r="L126" i="6"/>
  <c r="L130" i="6" s="1"/>
  <c r="K126" i="6"/>
  <c r="J126" i="6"/>
  <c r="J130" i="6" s="1"/>
  <c r="I126" i="6"/>
  <c r="H126" i="6"/>
  <c r="H130" i="6" s="1"/>
  <c r="G126" i="6"/>
  <c r="F126" i="6"/>
  <c r="F130" i="6" s="1"/>
  <c r="Q124" i="6"/>
  <c r="P124" i="6"/>
  <c r="O124" i="6"/>
  <c r="G124" i="6"/>
  <c r="V123" i="6"/>
  <c r="V122" i="6"/>
  <c r="V121" i="6"/>
  <c r="K121" i="6"/>
  <c r="J121" i="6"/>
  <c r="I121" i="6"/>
  <c r="H121" i="6"/>
  <c r="V120" i="6"/>
  <c r="S120" i="6"/>
  <c r="M120" i="6"/>
  <c r="L120" i="6"/>
  <c r="K120" i="6"/>
  <c r="J120" i="6"/>
  <c r="I120" i="6"/>
  <c r="H120" i="6"/>
  <c r="F120" i="6"/>
  <c r="V119" i="6"/>
  <c r="S119" i="6"/>
  <c r="R119" i="6"/>
  <c r="R124" i="6" s="1"/>
  <c r="M119" i="6"/>
  <c r="L119" i="6"/>
  <c r="K119" i="6"/>
  <c r="J119" i="6"/>
  <c r="I119" i="6"/>
  <c r="H119" i="6"/>
  <c r="F119" i="6"/>
  <c r="V118" i="6"/>
  <c r="S118" i="6"/>
  <c r="S124" i="6" s="1"/>
  <c r="N118" i="6"/>
  <c r="M118" i="6"/>
  <c r="L118" i="6"/>
  <c r="K118" i="6"/>
  <c r="J118" i="6"/>
  <c r="I118" i="6"/>
  <c r="H118" i="6"/>
  <c r="F118" i="6"/>
  <c r="V117" i="6"/>
  <c r="N117" i="6"/>
  <c r="N124" i="6" s="1"/>
  <c r="M117" i="6"/>
  <c r="L117" i="6"/>
  <c r="K117" i="6"/>
  <c r="K124" i="6" s="1"/>
  <c r="J117" i="6"/>
  <c r="J124" i="6" s="1"/>
  <c r="I117" i="6"/>
  <c r="H117" i="6"/>
  <c r="G117" i="6"/>
  <c r="F117" i="6"/>
  <c r="F124" i="6" s="1"/>
  <c r="V116" i="6"/>
  <c r="I116" i="6"/>
  <c r="G116" i="6"/>
  <c r="V115" i="6"/>
  <c r="V114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V99" i="6"/>
  <c r="V98" i="6"/>
  <c r="V97" i="6"/>
  <c r="V100" i="6" s="1"/>
  <c r="P95" i="6"/>
  <c r="L95" i="6"/>
  <c r="V94" i="6"/>
  <c r="S94" i="6"/>
  <c r="S95" i="6" s="1"/>
  <c r="R94" i="6"/>
  <c r="R95" i="6" s="1"/>
  <c r="Q94" i="6"/>
  <c r="Q95" i="6" s="1"/>
  <c r="P94" i="6"/>
  <c r="O94" i="6"/>
  <c r="O95" i="6" s="1"/>
  <c r="N94" i="6"/>
  <c r="M94" i="6"/>
  <c r="L94" i="6"/>
  <c r="K94" i="6"/>
  <c r="K95" i="6" s="1"/>
  <c r="J94" i="6"/>
  <c r="J95" i="6" s="1"/>
  <c r="I94" i="6"/>
  <c r="H94" i="6"/>
  <c r="G94" i="6"/>
  <c r="G95" i="6" s="1"/>
  <c r="F94" i="6"/>
  <c r="V93" i="6"/>
  <c r="V92" i="6"/>
  <c r="V95" i="6" s="1"/>
  <c r="N92" i="6"/>
  <c r="N95" i="6" s="1"/>
  <c r="M92" i="6"/>
  <c r="I92" i="6"/>
  <c r="I95" i="6" s="1"/>
  <c r="H92" i="6"/>
  <c r="H95" i="6" s="1"/>
  <c r="F92" i="6"/>
  <c r="F95" i="6" s="1"/>
  <c r="Q90" i="6"/>
  <c r="P90" i="6"/>
  <c r="O90" i="6"/>
  <c r="V89" i="6"/>
  <c r="V88" i="6"/>
  <c r="V87" i="6"/>
  <c r="K87" i="6"/>
  <c r="J87" i="6"/>
  <c r="I87" i="6"/>
  <c r="H87" i="6"/>
  <c r="V86" i="6"/>
  <c r="S86" i="6"/>
  <c r="M86" i="6"/>
  <c r="L86" i="6"/>
  <c r="K86" i="6"/>
  <c r="J86" i="6"/>
  <c r="I86" i="6"/>
  <c r="H86" i="6"/>
  <c r="F86" i="6"/>
  <c r="V85" i="6"/>
  <c r="S85" i="6"/>
  <c r="R85" i="6"/>
  <c r="M85" i="6"/>
  <c r="L85" i="6"/>
  <c r="K85" i="6"/>
  <c r="J85" i="6"/>
  <c r="I85" i="6"/>
  <c r="H85" i="6"/>
  <c r="F85" i="6"/>
  <c r="V84" i="6"/>
  <c r="S84" i="6"/>
  <c r="N84" i="6"/>
  <c r="M84" i="6"/>
  <c r="L84" i="6"/>
  <c r="K84" i="6"/>
  <c r="J84" i="6"/>
  <c r="I84" i="6"/>
  <c r="H84" i="6"/>
  <c r="F84" i="6"/>
  <c r="V83" i="6"/>
  <c r="N83" i="6"/>
  <c r="M83" i="6"/>
  <c r="L83" i="6"/>
  <c r="K83" i="6"/>
  <c r="J83" i="6"/>
  <c r="I83" i="6"/>
  <c r="H83" i="6"/>
  <c r="G83" i="6"/>
  <c r="F83" i="6"/>
  <c r="V82" i="6"/>
  <c r="I82" i="6"/>
  <c r="G82" i="6"/>
  <c r="V81" i="6"/>
  <c r="V80" i="6"/>
  <c r="V79" i="6"/>
  <c r="I79" i="6"/>
  <c r="G79" i="6"/>
  <c r="V78" i="6"/>
  <c r="S78" i="6"/>
  <c r="S90" i="6" s="1"/>
  <c r="R78" i="6"/>
  <c r="R90" i="6" s="1"/>
  <c r="N78" i="6"/>
  <c r="N90" i="6" s="1"/>
  <c r="M78" i="6"/>
  <c r="L78" i="6"/>
  <c r="K78" i="6"/>
  <c r="K90" i="6" s="1"/>
  <c r="J78" i="6"/>
  <c r="J90" i="6" s="1"/>
  <c r="I78" i="6"/>
  <c r="G78" i="6"/>
  <c r="G90" i="6" s="1"/>
  <c r="F78" i="6"/>
  <c r="V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V42" i="6"/>
  <c r="V41" i="6"/>
  <c r="V40" i="6"/>
  <c r="V43" i="6" s="1"/>
  <c r="T38" i="6"/>
  <c r="M38" i="6"/>
  <c r="V37" i="6"/>
  <c r="S37" i="6"/>
  <c r="S38" i="6" s="1"/>
  <c r="R37" i="6"/>
  <c r="R38" i="6" s="1"/>
  <c r="Q37" i="6"/>
  <c r="Q38" i="6" s="1"/>
  <c r="P37" i="6"/>
  <c r="P38" i="6" s="1"/>
  <c r="O37" i="6"/>
  <c r="O38" i="6" s="1"/>
  <c r="N37" i="6"/>
  <c r="N38" i="6" s="1"/>
  <c r="M37" i="6"/>
  <c r="L37" i="6"/>
  <c r="L38" i="6" s="1"/>
  <c r="K37" i="6"/>
  <c r="K38" i="6" s="1"/>
  <c r="J37" i="6"/>
  <c r="J38" i="6" s="1"/>
  <c r="I37" i="6"/>
  <c r="I38" i="6" s="1"/>
  <c r="H37" i="6"/>
  <c r="H38" i="6" s="1"/>
  <c r="G37" i="6"/>
  <c r="G38" i="6" s="1"/>
  <c r="F37" i="6"/>
  <c r="F38" i="6" s="1"/>
  <c r="V36" i="6"/>
  <c r="V35" i="6"/>
  <c r="V38" i="6" s="1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V32" i="6"/>
  <c r="V31" i="6"/>
  <c r="V30" i="6"/>
  <c r="V29" i="6"/>
  <c r="V28" i="6"/>
  <c r="V27" i="6"/>
  <c r="V26" i="6"/>
  <c r="V25" i="6"/>
  <c r="V24" i="6"/>
  <c r="V22" i="6"/>
  <c r="V21" i="6"/>
  <c r="N21" i="6"/>
  <c r="M21" i="6"/>
  <c r="L21" i="6"/>
  <c r="K21" i="6"/>
  <c r="J21" i="6"/>
  <c r="I21" i="6"/>
  <c r="G21" i="6"/>
  <c r="F21" i="6"/>
  <c r="S130" i="6" l="1"/>
  <c r="F90" i="6"/>
  <c r="I90" i="6"/>
  <c r="M90" i="6"/>
  <c r="H90" i="6"/>
  <c r="L90" i="6"/>
  <c r="M95" i="6"/>
  <c r="I124" i="6"/>
  <c r="M124" i="6"/>
  <c r="H124" i="6"/>
  <c r="L124" i="6"/>
  <c r="I130" i="6"/>
  <c r="M130" i="6"/>
  <c r="R130" i="6"/>
  <c r="P130" i="6"/>
  <c r="V130" i="6"/>
  <c r="V135" i="6"/>
  <c r="V183" i="6"/>
  <c r="V196" i="6"/>
  <c r="V207" i="6"/>
  <c r="V124" i="6"/>
  <c r="V33" i="6"/>
  <c r="V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V24" i="5"/>
  <c r="V23" i="5"/>
  <c r="V22" i="5"/>
  <c r="V25" i="5" s="1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S19" i="5"/>
  <c r="S20" i="5" s="1"/>
  <c r="R19" i="5"/>
  <c r="R20" i="5" s="1"/>
  <c r="Q19" i="5"/>
  <c r="Q20" i="5" s="1"/>
  <c r="P19" i="5"/>
  <c r="P20" i="5" s="1"/>
  <c r="O19" i="5"/>
  <c r="O20" i="5" s="1"/>
  <c r="N19" i="5"/>
  <c r="N20" i="5" s="1"/>
  <c r="M19" i="5"/>
  <c r="M20" i="5" s="1"/>
  <c r="L19" i="5"/>
  <c r="L20" i="5" s="1"/>
  <c r="K19" i="5"/>
  <c r="K20" i="5" s="1"/>
  <c r="J19" i="5"/>
  <c r="J20" i="5" s="1"/>
  <c r="I19" i="5"/>
  <c r="H19" i="5"/>
  <c r="G19" i="5"/>
  <c r="F19" i="5"/>
  <c r="I18" i="5"/>
  <c r="I20" i="5" s="1"/>
  <c r="H18" i="5"/>
  <c r="H20" i="5" s="1"/>
  <c r="G18" i="5"/>
  <c r="G20" i="5" s="1"/>
  <c r="F18" i="5"/>
  <c r="F20" i="5" s="1"/>
  <c r="Q253" i="5"/>
  <c r="P253" i="5"/>
  <c r="O253" i="5"/>
  <c r="V252" i="5"/>
  <c r="V251" i="5"/>
  <c r="K251" i="5"/>
  <c r="J251" i="5"/>
  <c r="I251" i="5"/>
  <c r="H251" i="5"/>
  <c r="V250" i="5"/>
  <c r="N250" i="5"/>
  <c r="M250" i="5"/>
  <c r="L250" i="5"/>
  <c r="K250" i="5"/>
  <c r="J250" i="5"/>
  <c r="I250" i="5"/>
  <c r="H250" i="5"/>
  <c r="G250" i="5"/>
  <c r="F250" i="5"/>
  <c r="V249" i="5"/>
  <c r="V248" i="5"/>
  <c r="S248" i="5"/>
  <c r="M248" i="5"/>
  <c r="L248" i="5"/>
  <c r="K248" i="5"/>
  <c r="J248" i="5"/>
  <c r="I248" i="5"/>
  <c r="H248" i="5"/>
  <c r="F248" i="5"/>
  <c r="V247" i="5"/>
  <c r="S247" i="5"/>
  <c r="R247" i="5"/>
  <c r="R253" i="5" s="1"/>
  <c r="M247" i="5"/>
  <c r="L247" i="5"/>
  <c r="K247" i="5"/>
  <c r="J247" i="5"/>
  <c r="I247" i="5"/>
  <c r="H247" i="5"/>
  <c r="F247" i="5"/>
  <c r="V246" i="5"/>
  <c r="S246" i="5"/>
  <c r="N246" i="5"/>
  <c r="M246" i="5"/>
  <c r="L246" i="5"/>
  <c r="K246" i="5"/>
  <c r="J246" i="5"/>
  <c r="I246" i="5"/>
  <c r="H246" i="5"/>
  <c r="F246" i="5"/>
  <c r="V245" i="5"/>
  <c r="I245" i="5"/>
  <c r="G245" i="5"/>
  <c r="G253" i="5" s="1"/>
  <c r="V244" i="5"/>
  <c r="V243" i="5"/>
  <c r="V253" i="5" s="1"/>
  <c r="S243" i="5"/>
  <c r="M243" i="5"/>
  <c r="M253" i="5" s="1"/>
  <c r="L243" i="5"/>
  <c r="K243" i="5"/>
  <c r="K253" i="5" s="1"/>
  <c r="J243" i="5"/>
  <c r="I243" i="5"/>
  <c r="I253" i="5" s="1"/>
  <c r="H243" i="5"/>
  <c r="F243" i="5"/>
  <c r="R191" i="5"/>
  <c r="Q191" i="5"/>
  <c r="P191" i="5"/>
  <c r="N191" i="5"/>
  <c r="M191" i="5"/>
  <c r="L191" i="5"/>
  <c r="K191" i="5"/>
  <c r="J191" i="5"/>
  <c r="I191" i="5"/>
  <c r="H191" i="5"/>
  <c r="G191" i="5"/>
  <c r="F191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V78" i="5"/>
  <c r="V77" i="5"/>
  <c r="V76" i="5"/>
  <c r="V75" i="5"/>
  <c r="V74" i="5"/>
  <c r="V73" i="5"/>
  <c r="V72" i="5"/>
  <c r="T68" i="5"/>
  <c r="V67" i="5"/>
  <c r="R67" i="5"/>
  <c r="Q67" i="5"/>
  <c r="P67" i="5"/>
  <c r="N67" i="5"/>
  <c r="M67" i="5"/>
  <c r="L67" i="5"/>
  <c r="K67" i="5"/>
  <c r="J67" i="5"/>
  <c r="I67" i="5"/>
  <c r="H67" i="5"/>
  <c r="G67" i="5"/>
  <c r="F67" i="5"/>
  <c r="V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V64" i="5"/>
  <c r="V63" i="5"/>
  <c r="V62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V40" i="5"/>
  <c r="V39" i="5"/>
  <c r="V38" i="5"/>
  <c r="V37" i="5"/>
  <c r="V36" i="5"/>
  <c r="V35" i="5"/>
  <c r="V34" i="5"/>
  <c r="V33" i="5"/>
  <c r="V32" i="5"/>
  <c r="V31" i="5"/>
  <c r="V30" i="5"/>
  <c r="H253" i="5" l="1"/>
  <c r="J253" i="5"/>
  <c r="L253" i="5"/>
  <c r="S253" i="5"/>
  <c r="F253" i="5"/>
  <c r="N253" i="5"/>
  <c r="V79" i="5"/>
  <c r="V41" i="5"/>
  <c r="V65" i="5"/>
  <c r="V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S18" i="4" l="1"/>
  <c r="S19" i="4" s="1"/>
  <c r="R18" i="4"/>
  <c r="R19" i="4" s="1"/>
  <c r="Q18" i="4"/>
  <c r="Q19" i="4" s="1"/>
  <c r="P18" i="4"/>
  <c r="P19" i="4" s="1"/>
  <c r="O18" i="4"/>
  <c r="O19" i="4" s="1"/>
  <c r="N18" i="4"/>
  <c r="N19" i="4" s="1"/>
  <c r="M18" i="4"/>
  <c r="M19" i="4" s="1"/>
  <c r="L18" i="4"/>
  <c r="L19" i="4" s="1"/>
  <c r="K18" i="4"/>
  <c r="K19" i="4" s="1"/>
  <c r="J18" i="4"/>
  <c r="J19" i="4" s="1"/>
  <c r="I18" i="4"/>
  <c r="H18" i="4"/>
  <c r="G18" i="4"/>
  <c r="F18" i="4"/>
  <c r="I17" i="4"/>
  <c r="I19" i="4" s="1"/>
  <c r="H17" i="4"/>
  <c r="H19" i="4" s="1"/>
  <c r="G17" i="4"/>
  <c r="G19" i="4" s="1"/>
  <c r="F17" i="4"/>
  <c r="F19" i="4" s="1"/>
  <c r="T345" i="4"/>
  <c r="O345" i="4"/>
  <c r="V327" i="4"/>
  <c r="V326" i="4"/>
  <c r="V325" i="4"/>
  <c r="I342" i="4"/>
  <c r="H342" i="4"/>
  <c r="G342" i="4"/>
  <c r="V324" i="4"/>
  <c r="S341" i="4"/>
  <c r="R341" i="4"/>
  <c r="Q341" i="4"/>
  <c r="P341" i="4"/>
  <c r="N341" i="4"/>
  <c r="M341" i="4"/>
  <c r="L341" i="4"/>
  <c r="K341" i="4"/>
  <c r="J341" i="4"/>
  <c r="I341" i="4"/>
  <c r="H341" i="4"/>
  <c r="G341" i="4"/>
  <c r="F341" i="4"/>
  <c r="V323" i="4"/>
  <c r="S340" i="4"/>
  <c r="R340" i="4"/>
  <c r="Q340" i="4"/>
  <c r="P340" i="4"/>
  <c r="N340" i="4"/>
  <c r="M340" i="4"/>
  <c r="L340" i="4"/>
  <c r="K340" i="4"/>
  <c r="J340" i="4"/>
  <c r="I340" i="4"/>
  <c r="H340" i="4"/>
  <c r="G340" i="4"/>
  <c r="F340" i="4"/>
  <c r="V322" i="4"/>
  <c r="R339" i="4"/>
  <c r="Q339" i="4"/>
  <c r="P339" i="4"/>
  <c r="N339" i="4"/>
  <c r="M339" i="4"/>
  <c r="L339" i="4"/>
  <c r="K339" i="4"/>
  <c r="J339" i="4"/>
  <c r="I339" i="4"/>
  <c r="H339" i="4"/>
  <c r="G339" i="4"/>
  <c r="F339" i="4"/>
  <c r="V321" i="4"/>
  <c r="S338" i="4"/>
  <c r="R338" i="4"/>
  <c r="Q338" i="4"/>
  <c r="P338" i="4"/>
  <c r="N338" i="4"/>
  <c r="M338" i="4"/>
  <c r="L338" i="4"/>
  <c r="K338" i="4"/>
  <c r="J338" i="4"/>
  <c r="I338" i="4"/>
  <c r="H338" i="4"/>
  <c r="G338" i="4"/>
  <c r="F338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V308" i="4"/>
  <c r="V307" i="4"/>
  <c r="V306" i="4"/>
  <c r="V305" i="4"/>
  <c r="V304" i="4"/>
  <c r="V303" i="4"/>
  <c r="V302" i="4"/>
  <c r="V280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V279" i="4"/>
  <c r="V278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V275" i="4"/>
  <c r="V274" i="4"/>
  <c r="V273" i="4"/>
  <c r="V272" i="4"/>
  <c r="V271" i="4"/>
  <c r="V270" i="4"/>
  <c r="V269" i="4"/>
  <c r="V268" i="4"/>
  <c r="S282" i="4"/>
  <c r="R282" i="4"/>
  <c r="Q282" i="4"/>
  <c r="P282" i="4"/>
  <c r="O282" i="4"/>
  <c r="N282" i="4"/>
  <c r="M282" i="4"/>
  <c r="L282" i="4"/>
  <c r="K282" i="4"/>
  <c r="J282" i="4"/>
  <c r="F282" i="4"/>
  <c r="V264" i="4"/>
  <c r="V263" i="4"/>
  <c r="V262" i="4"/>
  <c r="I279" i="4"/>
  <c r="I282" i="4" s="1"/>
  <c r="H279" i="4"/>
  <c r="H282" i="4" s="1"/>
  <c r="G279" i="4"/>
  <c r="G282" i="4" s="1"/>
  <c r="V261" i="4"/>
  <c r="V260" i="4"/>
  <c r="V258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V237" i="4"/>
  <c r="Q250" i="4"/>
  <c r="P250" i="4"/>
  <c r="O250" i="4"/>
  <c r="K248" i="4"/>
  <c r="J248" i="4"/>
  <c r="I248" i="4"/>
  <c r="H248" i="4"/>
  <c r="N247" i="4"/>
  <c r="M247" i="4"/>
  <c r="L247" i="4"/>
  <c r="K247" i="4"/>
  <c r="J247" i="4"/>
  <c r="I247" i="4"/>
  <c r="H247" i="4"/>
  <c r="G247" i="4"/>
  <c r="F247" i="4"/>
  <c r="S245" i="4"/>
  <c r="M245" i="4"/>
  <c r="L245" i="4"/>
  <c r="K245" i="4"/>
  <c r="J245" i="4"/>
  <c r="I245" i="4"/>
  <c r="H245" i="4"/>
  <c r="F245" i="4"/>
  <c r="S244" i="4"/>
  <c r="R244" i="4"/>
  <c r="R250" i="4" s="1"/>
  <c r="M244" i="4"/>
  <c r="L244" i="4"/>
  <c r="K244" i="4"/>
  <c r="J244" i="4"/>
  <c r="I244" i="4"/>
  <c r="H244" i="4"/>
  <c r="F244" i="4"/>
  <c r="S243" i="4"/>
  <c r="N243" i="4"/>
  <c r="M243" i="4"/>
  <c r="L243" i="4"/>
  <c r="K243" i="4"/>
  <c r="J243" i="4"/>
  <c r="I243" i="4"/>
  <c r="H243" i="4"/>
  <c r="F243" i="4"/>
  <c r="I242" i="4"/>
  <c r="G242" i="4"/>
  <c r="G250" i="4" s="1"/>
  <c r="S240" i="4"/>
  <c r="M240" i="4"/>
  <c r="L240" i="4"/>
  <c r="K240" i="4"/>
  <c r="J240" i="4"/>
  <c r="I240" i="4"/>
  <c r="H240" i="4"/>
  <c r="F240" i="4"/>
  <c r="V188" i="4"/>
  <c r="S210" i="4"/>
  <c r="R210" i="4"/>
  <c r="Q210" i="4"/>
  <c r="P210" i="4"/>
  <c r="O210" i="4"/>
  <c r="N210" i="4"/>
  <c r="M210" i="4"/>
  <c r="L210" i="4"/>
  <c r="K210" i="4"/>
  <c r="J210" i="4"/>
  <c r="V187" i="4"/>
  <c r="V170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V168" i="4"/>
  <c r="V167" i="4"/>
  <c r="V166" i="4"/>
  <c r="V163" i="4"/>
  <c r="V162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V161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V160" i="4"/>
  <c r="S177" i="4"/>
  <c r="R177" i="4"/>
  <c r="Q177" i="4"/>
  <c r="P177" i="4"/>
  <c r="N177" i="4"/>
  <c r="M177" i="4"/>
  <c r="L177" i="4"/>
  <c r="K177" i="4"/>
  <c r="J177" i="4"/>
  <c r="I177" i="4"/>
  <c r="H177" i="4"/>
  <c r="G177" i="4"/>
  <c r="F177" i="4"/>
  <c r="Q175" i="4"/>
  <c r="P175" i="4"/>
  <c r="O175" i="4"/>
  <c r="V157" i="4"/>
  <c r="V156" i="4"/>
  <c r="V155" i="4"/>
  <c r="K172" i="4"/>
  <c r="J172" i="4"/>
  <c r="I172" i="4"/>
  <c r="H172" i="4"/>
  <c r="V154" i="4"/>
  <c r="S171" i="4"/>
  <c r="M171" i="4"/>
  <c r="L171" i="4"/>
  <c r="K171" i="4"/>
  <c r="J171" i="4"/>
  <c r="I171" i="4"/>
  <c r="H171" i="4"/>
  <c r="F171" i="4"/>
  <c r="V153" i="4"/>
  <c r="S170" i="4"/>
  <c r="R170" i="4"/>
  <c r="R175" i="4" s="1"/>
  <c r="M170" i="4"/>
  <c r="L170" i="4"/>
  <c r="K170" i="4"/>
  <c r="J170" i="4"/>
  <c r="I170" i="4"/>
  <c r="H170" i="4"/>
  <c r="F170" i="4"/>
  <c r="V152" i="4"/>
  <c r="S169" i="4"/>
  <c r="N169" i="4"/>
  <c r="M169" i="4"/>
  <c r="L169" i="4"/>
  <c r="K169" i="4"/>
  <c r="J169" i="4"/>
  <c r="I169" i="4"/>
  <c r="H169" i="4"/>
  <c r="F169" i="4"/>
  <c r="V151" i="4"/>
  <c r="N168" i="4"/>
  <c r="M168" i="4"/>
  <c r="L168" i="4"/>
  <c r="K168" i="4"/>
  <c r="J168" i="4"/>
  <c r="I168" i="4"/>
  <c r="H168" i="4"/>
  <c r="G168" i="4"/>
  <c r="F168" i="4"/>
  <c r="V150" i="4"/>
  <c r="I167" i="4"/>
  <c r="G167" i="4"/>
  <c r="G175" i="4" s="1"/>
  <c r="V149" i="4"/>
  <c r="V148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V122" i="4"/>
  <c r="V121" i="4"/>
  <c r="V120" i="4"/>
  <c r="V117" i="4"/>
  <c r="S134" i="4"/>
  <c r="S135" i="4" s="1"/>
  <c r="R134" i="4"/>
  <c r="R135" i="4" s="1"/>
  <c r="Q134" i="4"/>
  <c r="Q135" i="4" s="1"/>
  <c r="P134" i="4"/>
  <c r="P135" i="4" s="1"/>
  <c r="O134" i="4"/>
  <c r="O135" i="4" s="1"/>
  <c r="N134" i="4"/>
  <c r="M134" i="4"/>
  <c r="L134" i="4"/>
  <c r="L135" i="4" s="1"/>
  <c r="K134" i="4"/>
  <c r="K135" i="4" s="1"/>
  <c r="J134" i="4"/>
  <c r="J135" i="4" s="1"/>
  <c r="I134" i="4"/>
  <c r="H134" i="4"/>
  <c r="G134" i="4"/>
  <c r="G135" i="4" s="1"/>
  <c r="F134" i="4"/>
  <c r="V116" i="4"/>
  <c r="V115" i="4"/>
  <c r="N132" i="4"/>
  <c r="M132" i="4"/>
  <c r="I132" i="4"/>
  <c r="I135" i="4" s="1"/>
  <c r="H132" i="4"/>
  <c r="H135" i="4" s="1"/>
  <c r="F132" i="4"/>
  <c r="Q130" i="4"/>
  <c r="P130" i="4"/>
  <c r="O130" i="4"/>
  <c r="V112" i="4"/>
  <c r="V111" i="4"/>
  <c r="V110" i="4"/>
  <c r="K127" i="4"/>
  <c r="J127" i="4"/>
  <c r="I127" i="4"/>
  <c r="H127" i="4"/>
  <c r="V109" i="4"/>
  <c r="S126" i="4"/>
  <c r="M126" i="4"/>
  <c r="L126" i="4"/>
  <c r="K126" i="4"/>
  <c r="J126" i="4"/>
  <c r="I126" i="4"/>
  <c r="H126" i="4"/>
  <c r="F126" i="4"/>
  <c r="V108" i="4"/>
  <c r="S125" i="4"/>
  <c r="R125" i="4"/>
  <c r="M125" i="4"/>
  <c r="L125" i="4"/>
  <c r="K125" i="4"/>
  <c r="J125" i="4"/>
  <c r="I125" i="4"/>
  <c r="H125" i="4"/>
  <c r="F125" i="4"/>
  <c r="V107" i="4"/>
  <c r="S124" i="4"/>
  <c r="N124" i="4"/>
  <c r="M124" i="4"/>
  <c r="L124" i="4"/>
  <c r="K124" i="4"/>
  <c r="J124" i="4"/>
  <c r="I124" i="4"/>
  <c r="H124" i="4"/>
  <c r="F124" i="4"/>
  <c r="V106" i="4"/>
  <c r="N123" i="4"/>
  <c r="M123" i="4"/>
  <c r="L123" i="4"/>
  <c r="K123" i="4"/>
  <c r="J123" i="4"/>
  <c r="I123" i="4"/>
  <c r="H123" i="4"/>
  <c r="G123" i="4"/>
  <c r="F123" i="4"/>
  <c r="V105" i="4"/>
  <c r="I122" i="4"/>
  <c r="G122" i="4"/>
  <c r="I119" i="4"/>
  <c r="G119" i="4"/>
  <c r="S118" i="4"/>
  <c r="R118" i="4"/>
  <c r="N118" i="4"/>
  <c r="M118" i="4"/>
  <c r="L118" i="4"/>
  <c r="K118" i="4"/>
  <c r="J118" i="4"/>
  <c r="I118" i="4"/>
  <c r="G118" i="4"/>
  <c r="F118" i="4"/>
  <c r="T79" i="4"/>
  <c r="O79" i="4"/>
  <c r="V78" i="4"/>
  <c r="V77" i="4"/>
  <c r="V76" i="4"/>
  <c r="I76" i="4"/>
  <c r="H76" i="4"/>
  <c r="G76" i="4"/>
  <c r="V75" i="4"/>
  <c r="S75" i="4"/>
  <c r="R75" i="4"/>
  <c r="Q75" i="4"/>
  <c r="P75" i="4"/>
  <c r="N75" i="4"/>
  <c r="M75" i="4"/>
  <c r="L75" i="4"/>
  <c r="K75" i="4"/>
  <c r="J75" i="4"/>
  <c r="I75" i="4"/>
  <c r="H75" i="4"/>
  <c r="G75" i="4"/>
  <c r="F75" i="4"/>
  <c r="V74" i="4"/>
  <c r="S74" i="4"/>
  <c r="R74" i="4"/>
  <c r="Q74" i="4"/>
  <c r="P74" i="4"/>
  <c r="N74" i="4"/>
  <c r="M74" i="4"/>
  <c r="L74" i="4"/>
  <c r="K74" i="4"/>
  <c r="J74" i="4"/>
  <c r="I74" i="4"/>
  <c r="H74" i="4"/>
  <c r="G74" i="4"/>
  <c r="F74" i="4"/>
  <c r="V73" i="4"/>
  <c r="R73" i="4"/>
  <c r="Q73" i="4"/>
  <c r="P73" i="4"/>
  <c r="N73" i="4"/>
  <c r="M73" i="4"/>
  <c r="L73" i="4"/>
  <c r="K73" i="4"/>
  <c r="J73" i="4"/>
  <c r="I73" i="4"/>
  <c r="H73" i="4"/>
  <c r="G73" i="4"/>
  <c r="F73" i="4"/>
  <c r="V72" i="4"/>
  <c r="S72" i="4"/>
  <c r="R72" i="4"/>
  <c r="Q72" i="4"/>
  <c r="P72" i="4"/>
  <c r="N72" i="4"/>
  <c r="M72" i="4"/>
  <c r="L72" i="4"/>
  <c r="K72" i="4"/>
  <c r="J72" i="4"/>
  <c r="I72" i="4"/>
  <c r="H72" i="4"/>
  <c r="G72" i="4"/>
  <c r="F72" i="4"/>
  <c r="T60" i="4"/>
  <c r="V59" i="4"/>
  <c r="S59" i="4"/>
  <c r="S60" i="4" s="1"/>
  <c r="R59" i="4"/>
  <c r="R60" i="4" s="1"/>
  <c r="Q59" i="4"/>
  <c r="Q60" i="4" s="1"/>
  <c r="P59" i="4"/>
  <c r="P60" i="4" s="1"/>
  <c r="O59" i="4"/>
  <c r="O60" i="4" s="1"/>
  <c r="N59" i="4"/>
  <c r="N60" i="4" s="1"/>
  <c r="M59" i="4"/>
  <c r="M60" i="4" s="1"/>
  <c r="L59" i="4"/>
  <c r="L60" i="4" s="1"/>
  <c r="K59" i="4"/>
  <c r="K60" i="4" s="1"/>
  <c r="J59" i="4"/>
  <c r="J60" i="4" s="1"/>
  <c r="I59" i="4"/>
  <c r="I60" i="4" s="1"/>
  <c r="H59" i="4"/>
  <c r="H60" i="4" s="1"/>
  <c r="G59" i="4"/>
  <c r="G60" i="4" s="1"/>
  <c r="F59" i="4"/>
  <c r="F60" i="4" s="1"/>
  <c r="V58" i="4"/>
  <c r="V57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V54" i="4"/>
  <c r="V53" i="4"/>
  <c r="V52" i="4"/>
  <c r="V51" i="4"/>
  <c r="V50" i="4"/>
  <c r="V49" i="4"/>
  <c r="V48" i="4"/>
  <c r="V47" i="4"/>
  <c r="V46" i="4"/>
  <c r="V43" i="4"/>
  <c r="V44" i="4" s="1"/>
  <c r="N43" i="4"/>
  <c r="M43" i="4"/>
  <c r="L43" i="4"/>
  <c r="K43" i="4"/>
  <c r="J43" i="4"/>
  <c r="I43" i="4"/>
  <c r="G43" i="4"/>
  <c r="F43" i="4"/>
  <c r="V23" i="4"/>
  <c r="V22" i="4"/>
  <c r="V21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I175" i="4" l="1"/>
  <c r="G181" i="4"/>
  <c r="K181" i="4"/>
  <c r="V169" i="4"/>
  <c r="S250" i="4"/>
  <c r="G79" i="4"/>
  <c r="K79" i="4"/>
  <c r="P79" i="4"/>
  <c r="V79" i="4"/>
  <c r="I130" i="4"/>
  <c r="M130" i="4"/>
  <c r="H175" i="4"/>
  <c r="L175" i="4"/>
  <c r="S175" i="4"/>
  <c r="P181" i="4"/>
  <c r="V164" i="4"/>
  <c r="J250" i="4"/>
  <c r="V276" i="4"/>
  <c r="F345" i="4"/>
  <c r="J345" i="4"/>
  <c r="N345" i="4"/>
  <c r="S345" i="4"/>
  <c r="I79" i="4"/>
  <c r="M79" i="4"/>
  <c r="R79" i="4"/>
  <c r="F130" i="4"/>
  <c r="K130" i="4"/>
  <c r="R130" i="4"/>
  <c r="F135" i="4"/>
  <c r="N135" i="4"/>
  <c r="F175" i="4"/>
  <c r="J175" i="4"/>
  <c r="N175" i="4"/>
  <c r="I181" i="4"/>
  <c r="M181" i="4"/>
  <c r="R181" i="4"/>
  <c r="O181" i="4"/>
  <c r="G210" i="4"/>
  <c r="H250" i="4"/>
  <c r="L250" i="4"/>
  <c r="H345" i="4"/>
  <c r="L345" i="4"/>
  <c r="Q345" i="4"/>
  <c r="V60" i="4"/>
  <c r="F79" i="4"/>
  <c r="H79" i="4"/>
  <c r="J79" i="4"/>
  <c r="L79" i="4"/>
  <c r="N79" i="4"/>
  <c r="Q79" i="4"/>
  <c r="S79" i="4"/>
  <c r="G130" i="4"/>
  <c r="J130" i="4"/>
  <c r="L130" i="4"/>
  <c r="N130" i="4"/>
  <c r="S130" i="4"/>
  <c r="H130" i="4"/>
  <c r="M135" i="4"/>
  <c r="V118" i="4"/>
  <c r="V158" i="4"/>
  <c r="K175" i="4"/>
  <c r="M175" i="4"/>
  <c r="F181" i="4"/>
  <c r="H181" i="4"/>
  <c r="J181" i="4"/>
  <c r="L181" i="4"/>
  <c r="N181" i="4"/>
  <c r="Q181" i="4"/>
  <c r="S181" i="4"/>
  <c r="F210" i="4"/>
  <c r="H210" i="4"/>
  <c r="V189" i="4"/>
  <c r="F250" i="4"/>
  <c r="I250" i="4"/>
  <c r="K250" i="4"/>
  <c r="M250" i="4"/>
  <c r="N250" i="4"/>
  <c r="V238" i="4"/>
  <c r="V309" i="4"/>
  <c r="G345" i="4"/>
  <c r="I345" i="4"/>
  <c r="K345" i="4"/>
  <c r="M345" i="4"/>
  <c r="P345" i="4"/>
  <c r="R345" i="4"/>
  <c r="V328" i="4"/>
  <c r="I210" i="4"/>
  <c r="V265" i="4"/>
  <c r="V123" i="4"/>
  <c r="V24" i="4"/>
  <c r="V55" i="4"/>
  <c r="P37" i="4" l="1"/>
  <c r="N37" i="4"/>
  <c r="M37" i="4"/>
  <c r="L37" i="4"/>
  <c r="K37" i="4"/>
  <c r="J37" i="4"/>
  <c r="I37" i="4"/>
  <c r="H37" i="4"/>
  <c r="F37" i="4"/>
  <c r="I36" i="4"/>
  <c r="H36" i="4"/>
  <c r="G36" i="4"/>
  <c r="S35" i="4"/>
  <c r="R35" i="4"/>
  <c r="Q35" i="4"/>
  <c r="P35" i="4"/>
  <c r="N35" i="4"/>
  <c r="M35" i="4"/>
  <c r="L35" i="4"/>
  <c r="K35" i="4"/>
  <c r="J35" i="4"/>
  <c r="I35" i="4"/>
  <c r="H35" i="4"/>
  <c r="G35" i="4"/>
  <c r="F35" i="4"/>
  <c r="S34" i="4"/>
  <c r="R34" i="4"/>
  <c r="Q34" i="4"/>
  <c r="P34" i="4"/>
  <c r="N34" i="4"/>
  <c r="M34" i="4"/>
  <c r="L34" i="4"/>
  <c r="K34" i="4"/>
  <c r="J34" i="4"/>
  <c r="I34" i="4"/>
  <c r="H34" i="4"/>
  <c r="G34" i="4"/>
  <c r="F34" i="4"/>
  <c r="S33" i="4"/>
  <c r="R33" i="4"/>
  <c r="Q33" i="4"/>
  <c r="P33" i="4"/>
  <c r="N33" i="4"/>
  <c r="M33" i="4"/>
  <c r="L33" i="4"/>
  <c r="K33" i="4"/>
  <c r="J33" i="4"/>
  <c r="I33" i="4"/>
  <c r="H33" i="4"/>
  <c r="G33" i="4"/>
  <c r="F33" i="4"/>
  <c r="S32" i="4"/>
  <c r="R32" i="4"/>
  <c r="Q32" i="4"/>
  <c r="P32" i="4"/>
  <c r="N32" i="4"/>
  <c r="M32" i="4"/>
  <c r="L32" i="4"/>
  <c r="K32" i="4"/>
  <c r="J32" i="4"/>
  <c r="I32" i="4"/>
  <c r="H32" i="4"/>
  <c r="G32" i="4"/>
  <c r="F32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S30" i="4"/>
  <c r="R30" i="4"/>
  <c r="Q30" i="4"/>
  <c r="P30" i="4"/>
  <c r="N30" i="4"/>
  <c r="M30" i="4"/>
  <c r="L30" i="4"/>
  <c r="K30" i="4"/>
  <c r="J30" i="4"/>
  <c r="I30" i="4"/>
  <c r="H30" i="4"/>
  <c r="G30" i="4"/>
  <c r="F30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V64" i="4"/>
  <c r="V63" i="4"/>
  <c r="V62" i="4"/>
  <c r="V67" i="4"/>
  <c r="R67" i="4"/>
  <c r="Q67" i="4"/>
  <c r="P67" i="4"/>
  <c r="N67" i="4"/>
  <c r="M67" i="4"/>
  <c r="L67" i="4"/>
  <c r="K67" i="4"/>
  <c r="J67" i="4"/>
  <c r="I67" i="4"/>
  <c r="H67" i="4"/>
  <c r="G67" i="4"/>
  <c r="F67" i="4"/>
  <c r="V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T41" i="4"/>
  <c r="O41" i="4"/>
  <c r="V40" i="4"/>
  <c r="V39" i="4"/>
  <c r="V38" i="4"/>
  <c r="V37" i="4"/>
  <c r="V36" i="4"/>
  <c r="V35" i="4"/>
  <c r="V34" i="4"/>
  <c r="V33" i="4"/>
  <c r="V32" i="4"/>
  <c r="V31" i="4"/>
  <c r="V30" i="4"/>
  <c r="K41" i="4" l="1"/>
  <c r="G41" i="4"/>
  <c r="I41" i="4"/>
  <c r="M41" i="4"/>
  <c r="S41" i="4"/>
  <c r="Q41" i="4"/>
  <c r="P41" i="4"/>
  <c r="R41" i="4"/>
  <c r="F41" i="4"/>
  <c r="H41" i="4"/>
  <c r="J41" i="4"/>
  <c r="L41" i="4"/>
  <c r="N41" i="4"/>
  <c r="V65" i="4"/>
  <c r="V41" i="4"/>
</calcChain>
</file>

<file path=xl/sharedStrings.xml><?xml version="1.0" encoding="utf-8"?>
<sst xmlns="http://schemas.openxmlformats.org/spreadsheetml/2006/main" count="2320" uniqueCount="241">
  <si>
    <t>1 ДЕНЬ</t>
  </si>
  <si>
    <t>ОБЕД</t>
  </si>
  <si>
    <t>82/2005</t>
  </si>
  <si>
    <t>2 ДЕНЬ</t>
  </si>
  <si>
    <t>102/2005</t>
  </si>
  <si>
    <t>Суп картофельный с бобовыми</t>
  </si>
  <si>
    <t>302/2005</t>
  </si>
  <si>
    <t>№рецепт.</t>
  </si>
  <si>
    <t>Наименование блюд</t>
  </si>
  <si>
    <t>брутто</t>
  </si>
  <si>
    <t>нетто</t>
  </si>
  <si>
    <t>белки</t>
  </si>
  <si>
    <t>жиры</t>
  </si>
  <si>
    <t>углеводы</t>
  </si>
  <si>
    <t>эн.ценность</t>
  </si>
  <si>
    <t>Ca</t>
  </si>
  <si>
    <t>Mg</t>
  </si>
  <si>
    <t>P</t>
  </si>
  <si>
    <t>Fe</t>
  </si>
  <si>
    <t>А</t>
  </si>
  <si>
    <t>В1</t>
  </si>
  <si>
    <t>В2</t>
  </si>
  <si>
    <t>РР</t>
  </si>
  <si>
    <t>С</t>
  </si>
  <si>
    <t>г/п</t>
  </si>
  <si>
    <t>Итого за обед</t>
  </si>
  <si>
    <t>минеральные вещества(мг)</t>
  </si>
  <si>
    <t>витамины(мг)</t>
  </si>
  <si>
    <t>К</t>
  </si>
  <si>
    <t>молоко</t>
  </si>
  <si>
    <t>сахар-песок</t>
  </si>
  <si>
    <t>картофель</t>
  </si>
  <si>
    <t>морковь</t>
  </si>
  <si>
    <t>лук репчатый</t>
  </si>
  <si>
    <t>масло растительное подсолнечное</t>
  </si>
  <si>
    <t>вода</t>
  </si>
  <si>
    <t>томатная паста</t>
  </si>
  <si>
    <t>масло сливочное"Крестьянское"</t>
  </si>
  <si>
    <t>мука пшеничная в/с</t>
  </si>
  <si>
    <t>лавровый лист</t>
  </si>
  <si>
    <t>чай-заварка</t>
  </si>
  <si>
    <t>свекла</t>
  </si>
  <si>
    <t>капуста белокачанная свежая</t>
  </si>
  <si>
    <t>вода или бульон</t>
  </si>
  <si>
    <t>цыпленок-бройлер</t>
  </si>
  <si>
    <t>горох лущеный</t>
  </si>
  <si>
    <t>соль йодированная</t>
  </si>
  <si>
    <t xml:space="preserve">итого </t>
  </si>
  <si>
    <t xml:space="preserve">Борщ со свежей капустой и картофелем </t>
  </si>
  <si>
    <t>крупа рисовая</t>
  </si>
  <si>
    <t>3 ДЕНЬ</t>
  </si>
  <si>
    <t>291/2005</t>
  </si>
  <si>
    <t>Плов из птицы</t>
  </si>
  <si>
    <t>4 ДЕНЬ</t>
  </si>
  <si>
    <t>96/2005</t>
  </si>
  <si>
    <t>огурцы соленые</t>
  </si>
  <si>
    <t>5 ДЕНЬ</t>
  </si>
  <si>
    <t>312/2005</t>
  </si>
  <si>
    <t>Пюре картофельное</t>
  </si>
  <si>
    <t>6 ДЕНЬ</t>
  </si>
  <si>
    <t>7 ДЕНЬ</t>
  </si>
  <si>
    <t>8 ДЕНЬ</t>
  </si>
  <si>
    <t>бульон или вода</t>
  </si>
  <si>
    <t>9 ДЕНЬ</t>
  </si>
  <si>
    <t>10 ДЕНЬ</t>
  </si>
  <si>
    <t>ИТОГО ЗА 10 ДНЕЙ</t>
  </si>
  <si>
    <t>В СРЕДНЕМ ЗА ДЕНЬ</t>
  </si>
  <si>
    <t>говядина(котлетное мясо)</t>
  </si>
  <si>
    <t>хлеб пшеничный</t>
  </si>
  <si>
    <t>мука пшеничная</t>
  </si>
  <si>
    <t>309/2005</t>
  </si>
  <si>
    <t>Макаронные изделия отварные</t>
  </si>
  <si>
    <t>макаронные изделия в/с</t>
  </si>
  <si>
    <t>376/2005</t>
  </si>
  <si>
    <t xml:space="preserve">Чай с сахаром </t>
  </si>
  <si>
    <t>200/15</t>
  </si>
  <si>
    <t>масло растительное</t>
  </si>
  <si>
    <t>итого</t>
  </si>
  <si>
    <t>Масло растительное</t>
  </si>
  <si>
    <t>соль</t>
  </si>
  <si>
    <t xml:space="preserve">Тефтели </t>
  </si>
  <si>
    <t>Хлеб пшеничный</t>
  </si>
  <si>
    <t>Сухари</t>
  </si>
  <si>
    <t>стоимость</t>
  </si>
  <si>
    <t>88/2005</t>
  </si>
  <si>
    <t>Щи из свежей капусты с картофелем</t>
  </si>
  <si>
    <t>крупа пшеничная</t>
  </si>
  <si>
    <t>Внутренний жир куриный</t>
  </si>
  <si>
    <t>Молоко или вода</t>
  </si>
  <si>
    <t>619/2009</t>
  </si>
  <si>
    <t xml:space="preserve">Рассольник ленинградский </t>
  </si>
  <si>
    <t>101/2005</t>
  </si>
  <si>
    <t>Суп картофельный с крупой</t>
  </si>
  <si>
    <t>котлеты рубленные из бройлеров цыплят</t>
  </si>
  <si>
    <t>Бройлер-цыпленок</t>
  </si>
  <si>
    <t>295/2005</t>
  </si>
  <si>
    <t>Суп картофельный с рыбной консервой</t>
  </si>
  <si>
    <t>консерва рыбная(лосось,сайра,горбуша)</t>
  </si>
  <si>
    <t>759/2009</t>
  </si>
  <si>
    <t>Соус красный основной</t>
  </si>
  <si>
    <t xml:space="preserve">вода </t>
  </si>
  <si>
    <t>103/2005</t>
  </si>
  <si>
    <t>Суп картофельный с макаронными изделиями</t>
  </si>
  <si>
    <t>макароны или лапша или вермишель</t>
  </si>
  <si>
    <t>сухари панировочные</t>
  </si>
  <si>
    <t>Хлеб пшеничный йодированный</t>
  </si>
  <si>
    <t>Хлеб ржаной</t>
  </si>
  <si>
    <t>97/2005</t>
  </si>
  <si>
    <t>536/2009</t>
  </si>
  <si>
    <t>Сосиска отварная</t>
  </si>
  <si>
    <t>608/2005</t>
  </si>
  <si>
    <t>Котлета из говядины</t>
  </si>
  <si>
    <t>говядина (котлетное мясо)</t>
  </si>
  <si>
    <t>молоко или вода</t>
  </si>
  <si>
    <t>крупа пшеничная(рис)</t>
  </si>
  <si>
    <t>289/2005</t>
  </si>
  <si>
    <t>Рагу из птицы</t>
  </si>
  <si>
    <t>80/230</t>
  </si>
  <si>
    <t>Каша пшеничная рассыпчатая</t>
  </si>
  <si>
    <t>сосиски говяжьи или молочные</t>
  </si>
  <si>
    <t>капуста свежая белокачанная</t>
  </si>
  <si>
    <t>643/2009</t>
  </si>
  <si>
    <t>Птица, тушенная в соусе</t>
  </si>
  <si>
    <t>бройлер- цыпленок</t>
  </si>
  <si>
    <t>1033/2009</t>
  </si>
  <si>
    <t>Пельмени отварные</t>
  </si>
  <si>
    <t>пельмени полуфабрикат промышленного производства мороженые</t>
  </si>
  <si>
    <t>139/2005</t>
  </si>
  <si>
    <t>Капуста тушеная</t>
  </si>
  <si>
    <t>р-р лимонной кислоты</t>
  </si>
  <si>
    <t>229/2005</t>
  </si>
  <si>
    <t>Рыба, тушеная в томате с овощами</t>
  </si>
  <si>
    <t>80/80</t>
  </si>
  <si>
    <t>минтай или хек с/м</t>
  </si>
  <si>
    <t>868/2009</t>
  </si>
  <si>
    <t>Компот из смеси сухофруктов</t>
  </si>
  <si>
    <t>сухофрукты(смесь)</t>
  </si>
  <si>
    <t>кислота лимонная</t>
  </si>
  <si>
    <t xml:space="preserve"> </t>
  </si>
  <si>
    <t>Омлет, смешанный с  сосисками</t>
  </si>
  <si>
    <t>212/2005</t>
  </si>
  <si>
    <t>Яйца</t>
  </si>
  <si>
    <t>Молоко</t>
  </si>
  <si>
    <t xml:space="preserve">Масло сливочное </t>
  </si>
  <si>
    <t>Колбаса вареная или сосиски</t>
  </si>
  <si>
    <t>Соль</t>
  </si>
  <si>
    <t>Чай-заварка</t>
  </si>
  <si>
    <t>Консервы овощные закусочные</t>
  </si>
  <si>
    <t>50/2009</t>
  </si>
  <si>
    <t>Икра кабачковая</t>
  </si>
  <si>
    <t>цена</t>
  </si>
  <si>
    <t>100/80</t>
  </si>
  <si>
    <t xml:space="preserve">минтай или хек с/м </t>
  </si>
  <si>
    <t>200/2009</t>
  </si>
  <si>
    <t>290/2005</t>
  </si>
  <si>
    <t>Птица тушенная в соусе</t>
  </si>
  <si>
    <t>бройлер-цыпленок</t>
  </si>
  <si>
    <t>Лавровый лист</t>
  </si>
  <si>
    <t>Котлеты рубленные из бройлеров цыплят</t>
  </si>
  <si>
    <t xml:space="preserve">Сухари </t>
  </si>
  <si>
    <t>Котлетаиз говядины</t>
  </si>
  <si>
    <t>Говядина (котлетное мясо)</t>
  </si>
  <si>
    <t xml:space="preserve">Хлеб пшеничный </t>
  </si>
  <si>
    <t>завтрак</t>
  </si>
  <si>
    <t>Итого за завтрак</t>
  </si>
  <si>
    <t>406/2005</t>
  </si>
  <si>
    <t>Пирожок печеный сдобный с повидлом</t>
  </si>
  <si>
    <t>405/2005</t>
  </si>
  <si>
    <t>Тесто дрожжевое</t>
  </si>
  <si>
    <t>мука пшеничная в\с</t>
  </si>
  <si>
    <t>яйцо куриное столовое</t>
  </si>
  <si>
    <t>маргарин столовый</t>
  </si>
  <si>
    <t>дрожжи пекарские сухие</t>
  </si>
  <si>
    <t>сахар</t>
  </si>
  <si>
    <t>Повидло или джем</t>
  </si>
  <si>
    <t>944/ 2009</t>
  </si>
  <si>
    <t>чай с лимоном</t>
  </si>
  <si>
    <t xml:space="preserve">     200/7</t>
  </si>
  <si>
    <t>чай - заварка</t>
  </si>
  <si>
    <t>лимон свежий</t>
  </si>
  <si>
    <t>424/2005</t>
  </si>
  <si>
    <t>Булочка домашняя</t>
  </si>
  <si>
    <t>яйцо куриное столовое, гр</t>
  </si>
  <si>
    <t>386/2005</t>
  </si>
  <si>
    <t>Ряженка или кефир</t>
  </si>
  <si>
    <t>Итого  за завтрак</t>
  </si>
  <si>
    <t>410/2005</t>
  </si>
  <si>
    <t>Ватрушка с фаршем творожным</t>
  </si>
  <si>
    <t>яйцо куриное столовое для смазки ватрушек</t>
  </si>
  <si>
    <t>468/2005</t>
  </si>
  <si>
    <t>Фарш творожный</t>
  </si>
  <si>
    <t>творог</t>
  </si>
  <si>
    <t>ванилин</t>
  </si>
  <si>
    <t>масло растительное для смазки листов</t>
  </si>
  <si>
    <t>Сок фруктовый</t>
  </si>
  <si>
    <t>1064/ 2009</t>
  </si>
  <si>
    <t>Сосиска в тесте</t>
  </si>
  <si>
    <t>Сосиска</t>
  </si>
  <si>
    <t>маргарин</t>
  </si>
  <si>
    <t>яйцо куриное, гр</t>
  </si>
  <si>
    <t xml:space="preserve">дрожжи </t>
  </si>
  <si>
    <t>945/ 2009</t>
  </si>
  <si>
    <t>Чай с сахаром и молоком</t>
  </si>
  <si>
    <t>182/2005</t>
  </si>
  <si>
    <t>Каша жидкая молочная из рисовой крупы с сахаром</t>
  </si>
  <si>
    <t>масло сливочное "Крестьянское"</t>
  </si>
  <si>
    <t>Булочка "Дорожная"</t>
  </si>
  <si>
    <t>383/2005</t>
  </si>
  <si>
    <t>Какао с молоком сгущенным</t>
  </si>
  <si>
    <t>какао-порошок</t>
  </si>
  <si>
    <t>молоко цельное сгущенное с сахаром</t>
  </si>
  <si>
    <t>итого за завтрак</t>
  </si>
  <si>
    <t>223/2005</t>
  </si>
  <si>
    <t>Запеканка из творога со сгущенным молоком</t>
  </si>
  <si>
    <t>100/40</t>
  </si>
  <si>
    <t>творог н/ж</t>
  </si>
  <si>
    <t>крупа манная</t>
  </si>
  <si>
    <t>яйцо куриное, гр.</t>
  </si>
  <si>
    <t>сметана</t>
  </si>
  <si>
    <t>молоко сгущенное с сахаром</t>
  </si>
  <si>
    <t>чай с сахаром и лимоном</t>
  </si>
  <si>
    <t>175/2005</t>
  </si>
  <si>
    <t>Каша вязкая молочная из риса и пшена</t>
  </si>
  <si>
    <t>Крупа рисовая</t>
  </si>
  <si>
    <t>Крупа пшено</t>
  </si>
  <si>
    <t xml:space="preserve">Молоко </t>
  </si>
  <si>
    <t>Вода</t>
  </si>
  <si>
    <t>Сахар</t>
  </si>
  <si>
    <t>Масло сливочное "Крестьянское"</t>
  </si>
  <si>
    <t xml:space="preserve">Итого </t>
  </si>
  <si>
    <t>в СРЕДНЕМ ЗА 1 ДЕНЬ</t>
  </si>
  <si>
    <t>Бутерброд с повидлом</t>
  </si>
  <si>
    <t>Джем</t>
  </si>
  <si>
    <t>2\2005</t>
  </si>
  <si>
    <t>120/2005</t>
  </si>
  <si>
    <t>Суп молочный с макаронными изделиями</t>
  </si>
  <si>
    <t>Макаронные изделия</t>
  </si>
  <si>
    <t>Соль йодированная</t>
  </si>
  <si>
    <t>Масло сливочное"Крестьянское"</t>
  </si>
  <si>
    <t>2\2014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</si>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</sst>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&quot; &quot;??/16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164" fontId="3" fillId="0" borderId="2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1" fontId="4" fillId="0" borderId="2" xfId="0" applyNumberFormat="1" applyFont="1" applyBorder="1"/>
    <xf numFmtId="164" fontId="4" fillId="0" borderId="2" xfId="0" applyNumberFormat="1" applyFont="1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/>
    <xf numFmtId="1" fontId="1" fillId="0" borderId="2" xfId="0" applyNumberFormat="1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6" xfId="0" applyFont="1" applyBorder="1"/>
    <xf numFmtId="0" fontId="3" fillId="0" borderId="6" xfId="0" applyFont="1" applyBorder="1"/>
    <xf numFmtId="0" fontId="0" fillId="0" borderId="2" xfId="0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/>
    <xf numFmtId="0" fontId="6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2" fontId="3" fillId="0" borderId="2" xfId="0" applyNumberFormat="1" applyFont="1" applyBorder="1"/>
    <xf numFmtId="164" fontId="8" fillId="0" borderId="2" xfId="0" applyNumberFormat="1" applyFont="1" applyBorder="1"/>
    <xf numFmtId="0" fontId="8" fillId="0" borderId="6" xfId="0" applyFont="1" applyBorder="1"/>
    <xf numFmtId="0" fontId="5" fillId="0" borderId="2" xfId="0" applyFont="1" applyBorder="1" applyAlignment="1">
      <alignment horizontal="center"/>
    </xf>
    <xf numFmtId="0" fontId="8" fillId="2" borderId="2" xfId="0" applyFont="1" applyFill="1" applyBorder="1"/>
    <xf numFmtId="164" fontId="8" fillId="2" borderId="2" xfId="0" applyNumberFormat="1" applyFont="1" applyFill="1" applyBorder="1"/>
    <xf numFmtId="1" fontId="8" fillId="0" borderId="2" xfId="0" applyNumberFormat="1" applyFont="1" applyBorder="1"/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165" fontId="1" fillId="0" borderId="2" xfId="0" applyNumberFormat="1" applyFont="1" applyBorder="1"/>
    <xf numFmtId="0" fontId="3" fillId="0" borderId="2" xfId="0" applyFont="1" applyFill="1" applyBorder="1"/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wrapText="1"/>
    </xf>
    <xf numFmtId="1" fontId="5" fillId="0" borderId="2" xfId="0" applyNumberFormat="1" applyFont="1" applyBorder="1"/>
    <xf numFmtId="165" fontId="8" fillId="0" borderId="2" xfId="0" applyNumberFormat="1" applyFont="1" applyBorder="1"/>
    <xf numFmtId="0" fontId="10" fillId="0" borderId="2" xfId="0" applyFont="1" applyBorder="1" applyAlignment="1">
      <alignment vertical="top" wrapText="1"/>
    </xf>
    <xf numFmtId="164" fontId="7" fillId="0" borderId="2" xfId="0" applyNumberFormat="1" applyFont="1" applyBorder="1"/>
    <xf numFmtId="0" fontId="3" fillId="0" borderId="7" xfId="0" applyFont="1" applyBorder="1"/>
    <xf numFmtId="0" fontId="4" fillId="0" borderId="7" xfId="0" applyFont="1" applyBorder="1"/>
    <xf numFmtId="0" fontId="0" fillId="0" borderId="6" xfId="0" applyBorder="1"/>
    <xf numFmtId="0" fontId="1" fillId="0" borderId="2" xfId="0" applyFont="1" applyBorder="1" applyAlignment="1">
      <alignment vertical="center" wrapText="1"/>
    </xf>
    <xf numFmtId="0" fontId="0" fillId="0" borderId="0" xfId="0" applyBorder="1"/>
    <xf numFmtId="0" fontId="3" fillId="0" borderId="10" xfId="0" applyFont="1" applyBorder="1"/>
    <xf numFmtId="0" fontId="0" fillId="0" borderId="6" xfId="0" applyBorder="1" applyAlignment="1">
      <alignment wrapText="1"/>
    </xf>
    <xf numFmtId="0" fontId="3" fillId="0" borderId="1" xfId="0" applyFont="1" applyBorder="1"/>
    <xf numFmtId="0" fontId="7" fillId="2" borderId="2" xfId="0" applyFont="1" applyFill="1" applyBorder="1"/>
    <xf numFmtId="1" fontId="7" fillId="0" borderId="2" xfId="0" applyNumberFormat="1" applyFont="1" applyBorder="1"/>
    <xf numFmtId="2" fontId="8" fillId="0" borderId="2" xfId="0" applyNumberFormat="1" applyFont="1" applyBorder="1"/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 wrapText="1"/>
    </xf>
    <xf numFmtId="0" fontId="8" fillId="0" borderId="2" xfId="0" applyFont="1" applyBorder="1" applyAlignment="1">
      <alignment vertical="top" wrapText="1"/>
    </xf>
    <xf numFmtId="0" fontId="0" fillId="0" borderId="2" xfId="0" applyFont="1" applyBorder="1" applyAlignment="1">
      <alignment wrapText="1"/>
    </xf>
    <xf numFmtId="0" fontId="8" fillId="2" borderId="6" xfId="0" applyFont="1" applyFill="1" applyBorder="1"/>
    <xf numFmtId="0" fontId="3" fillId="3" borderId="0" xfId="0" applyFont="1" applyFill="1"/>
    <xf numFmtId="164" fontId="3" fillId="0" borderId="6" xfId="0" applyNumberFormat="1" applyFont="1" applyBorder="1"/>
    <xf numFmtId="0" fontId="0" fillId="0" borderId="2" xfId="0" applyFont="1" applyBorder="1"/>
    <xf numFmtId="0" fontId="0" fillId="0" borderId="7" xfId="0" applyFont="1" applyBorder="1"/>
    <xf numFmtId="0" fontId="7" fillId="0" borderId="6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5" xfId="0" applyFont="1" applyBorder="1"/>
    <xf numFmtId="164" fontId="7" fillId="0" borderId="5" xfId="0" applyNumberFormat="1" applyFont="1" applyBorder="1"/>
    <xf numFmtId="0" fontId="8" fillId="0" borderId="6" xfId="0" applyFont="1" applyBorder="1" applyAlignment="1">
      <alignment wrapText="1"/>
    </xf>
    <xf numFmtId="0" fontId="3" fillId="0" borderId="0" xfId="0" applyFont="1" applyBorder="1"/>
    <xf numFmtId="0" fontId="8" fillId="0" borderId="5" xfId="0" applyFont="1" applyBorder="1" applyAlignment="1">
      <alignment wrapText="1"/>
    </xf>
    <xf numFmtId="0" fontId="7" fillId="0" borderId="6" xfId="0" applyFont="1" applyBorder="1"/>
    <xf numFmtId="0" fontId="0" fillId="0" borderId="1" xfId="0" applyBorder="1"/>
    <xf numFmtId="0" fontId="0" fillId="0" borderId="0" xfId="0" applyFont="1"/>
    <xf numFmtId="0" fontId="0" fillId="2" borderId="2" xfId="0" applyFont="1" applyFill="1" applyBorder="1"/>
    <xf numFmtId="164" fontId="0" fillId="2" borderId="2" xfId="0" applyNumberFormat="1" applyFont="1" applyFill="1" applyBorder="1"/>
    <xf numFmtId="0" fontId="0" fillId="0" borderId="6" xfId="0" applyFont="1" applyBorder="1"/>
    <xf numFmtId="164" fontId="0" fillId="0" borderId="2" xfId="0" applyNumberFormat="1" applyFont="1" applyBorder="1"/>
    <xf numFmtId="1" fontId="0" fillId="0" borderId="2" xfId="0" applyNumberFormat="1" applyFont="1" applyBorder="1"/>
    <xf numFmtId="165" fontId="0" fillId="0" borderId="2" xfId="0" applyNumberFormat="1" applyFont="1" applyBorder="1"/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" fontId="0" fillId="2" borderId="2" xfId="0" applyNumberFormat="1" applyFont="1" applyFill="1" applyBorder="1"/>
    <xf numFmtId="2" fontId="0" fillId="4" borderId="2" xfId="0" applyNumberFormat="1" applyFont="1" applyFill="1" applyBorder="1"/>
    <xf numFmtId="2" fontId="0" fillId="0" borderId="2" xfId="0" applyNumberFormat="1" applyBorder="1"/>
    <xf numFmtId="2" fontId="3" fillId="4" borderId="2" xfId="0" applyNumberFormat="1" applyFont="1" applyFill="1" applyBorder="1"/>
    <xf numFmtId="2" fontId="7" fillId="0" borderId="2" xfId="0" applyNumberFormat="1" applyFont="1" applyBorder="1"/>
    <xf numFmtId="2" fontId="0" fillId="0" borderId="2" xfId="0" applyNumberFormat="1" applyFont="1" applyBorder="1"/>
    <xf numFmtId="2" fontId="0" fillId="0" borderId="0" xfId="0" applyNumberFormat="1" applyBorder="1"/>
    <xf numFmtId="2" fontId="0" fillId="0" borderId="1" xfId="0" applyNumberForma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1" fillId="0" borderId="0" xfId="0" applyFont="1" applyBorder="1" applyAlignment="1">
      <alignment horizontal="left" wrapText="1"/>
    </xf>
    <xf numFmtId="1" fontId="1" fillId="0" borderId="0" xfId="0" applyNumberFormat="1" applyFont="1" applyBorder="1"/>
    <xf numFmtId="164" fontId="1" fillId="0" borderId="0" xfId="0" applyNumberFormat="1" applyFont="1" applyBorder="1"/>
    <xf numFmtId="164" fontId="3" fillId="0" borderId="0" xfId="0" applyNumberFormat="1" applyFont="1" applyBorder="1"/>
    <xf numFmtId="1" fontId="3" fillId="0" borderId="0" xfId="0" applyNumberFormat="1" applyFont="1" applyBorder="1"/>
    <xf numFmtId="0" fontId="8" fillId="0" borderId="0" xfId="0" applyFont="1" applyBorder="1"/>
    <xf numFmtId="164" fontId="8" fillId="0" borderId="0" xfId="0" applyNumberFormat="1" applyFont="1" applyBorder="1"/>
    <xf numFmtId="165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8" fillId="2" borderId="0" xfId="0" applyFont="1" applyFill="1" applyBorder="1"/>
    <xf numFmtId="164" fontId="8" fillId="2" borderId="0" xfId="0" applyNumberFormat="1" applyFont="1" applyFill="1" applyBorder="1"/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15" fillId="0" borderId="2" xfId="0" applyFont="1" applyBorder="1"/>
    <xf numFmtId="0" fontId="2" fillId="0" borderId="0" xfId="0" applyFont="1"/>
    <xf numFmtId="0" fontId="2" fillId="0" borderId="0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6" xfId="0" applyFont="1" applyBorder="1"/>
    <xf numFmtId="1" fontId="4" fillId="0" borderId="6" xfId="0" applyNumberFormat="1" applyFont="1" applyBorder="1"/>
    <xf numFmtId="164" fontId="4" fillId="0" borderId="6" xfId="0" applyNumberFormat="1" applyFont="1" applyBorder="1"/>
    <xf numFmtId="0" fontId="4" fillId="0" borderId="9" xfId="0" applyFont="1" applyBorder="1"/>
    <xf numFmtId="0" fontId="0" fillId="0" borderId="5" xfId="0" applyBorder="1"/>
    <xf numFmtId="0" fontId="8" fillId="0" borderId="1" xfId="0" applyFont="1" applyBorder="1"/>
    <xf numFmtId="0" fontId="6" fillId="0" borderId="6" xfId="0" applyFont="1" applyBorder="1" applyAlignment="1">
      <alignment wrapText="1"/>
    </xf>
    <xf numFmtId="0" fontId="3" fillId="0" borderId="5" xfId="0" applyFont="1" applyBorder="1"/>
    <xf numFmtId="2" fontId="3" fillId="0" borderId="5" xfId="0" applyNumberFormat="1" applyFont="1" applyBorder="1"/>
    <xf numFmtId="164" fontId="3" fillId="0" borderId="5" xfId="0" applyNumberFormat="1" applyFont="1" applyBorder="1"/>
    <xf numFmtId="0" fontId="4" fillId="0" borderId="5" xfId="0" applyFont="1" applyBorder="1"/>
    <xf numFmtId="0" fontId="4" fillId="0" borderId="17" xfId="0" applyFont="1" applyBorder="1"/>
    <xf numFmtId="0" fontId="4" fillId="0" borderId="1" xfId="0" applyFont="1" applyBorder="1"/>
    <xf numFmtId="0" fontId="0" fillId="0" borderId="1" xfId="0" applyFont="1" applyBorder="1"/>
    <xf numFmtId="0" fontId="3" fillId="0" borderId="6" xfId="0" applyFont="1" applyBorder="1" applyAlignment="1">
      <alignment horizontal="left" wrapText="1"/>
    </xf>
    <xf numFmtId="1" fontId="3" fillId="0" borderId="6" xfId="0" applyNumberFormat="1" applyFont="1" applyBorder="1"/>
    <xf numFmtId="2" fontId="3" fillId="0" borderId="6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2" fontId="3" fillId="0" borderId="19" xfId="0" applyNumberFormat="1" applyFont="1" applyBorder="1"/>
    <xf numFmtId="0" fontId="3" fillId="0" borderId="19" xfId="0" applyFont="1" applyBorder="1"/>
    <xf numFmtId="2" fontId="3" fillId="0" borderId="2" xfId="0" applyNumberFormat="1" applyFont="1" applyFill="1" applyBorder="1"/>
    <xf numFmtId="0" fontId="3" fillId="0" borderId="0" xfId="0" applyFont="1" applyFill="1"/>
    <xf numFmtId="0" fontId="0" fillId="0" borderId="5" xfId="0" applyFont="1" applyBorder="1" applyAlignment="1">
      <alignment wrapText="1"/>
    </xf>
    <xf numFmtId="0" fontId="0" fillId="0" borderId="2" xfId="0" applyFont="1" applyBorder="1" applyAlignment="1"/>
    <xf numFmtId="0" fontId="0" fillId="0" borderId="5" xfId="0" applyFont="1" applyBorder="1"/>
    <xf numFmtId="164" fontId="0" fillId="0" borderId="5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6" xfId="0" applyFont="1" applyBorder="1"/>
    <xf numFmtId="2" fontId="3" fillId="0" borderId="0" xfId="0" applyNumberFormat="1" applyFont="1"/>
    <xf numFmtId="0" fontId="0" fillId="0" borderId="8" xfId="0" applyFont="1" applyBorder="1"/>
    <xf numFmtId="0" fontId="16" fillId="0" borderId="2" xfId="0" applyFont="1" applyBorder="1" applyAlignment="1">
      <alignment horizontal="center" vertical="top" wrapText="1"/>
    </xf>
    <xf numFmtId="2" fontId="0" fillId="0" borderId="6" xfId="0" applyNumberFormat="1" applyFont="1" applyBorder="1"/>
    <xf numFmtId="0" fontId="0" fillId="0" borderId="2" xfId="0" applyFont="1" applyFill="1" applyBorder="1"/>
    <xf numFmtId="0" fontId="0" fillId="0" borderId="6" xfId="0" applyFont="1" applyFill="1" applyBorder="1"/>
    <xf numFmtId="0" fontId="0" fillId="0" borderId="2" xfId="0" applyFont="1" applyBorder="1" applyAlignment="1">
      <alignment horizontal="left" wrapText="1"/>
    </xf>
    <xf numFmtId="49" fontId="17" fillId="0" borderId="2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justify" vertical="top" wrapText="1"/>
    </xf>
    <xf numFmtId="2" fontId="0" fillId="0" borderId="1" xfId="0" applyNumberFormat="1" applyFont="1" applyBorder="1"/>
    <xf numFmtId="1" fontId="0" fillId="0" borderId="5" xfId="0" applyNumberFormat="1" applyFont="1" applyBorder="1"/>
    <xf numFmtId="2" fontId="0" fillId="0" borderId="5" xfId="0" applyNumberFormat="1" applyFont="1" applyBorder="1"/>
    <xf numFmtId="164" fontId="0" fillId="0" borderId="6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17" xfId="0" applyFont="1" applyBorder="1"/>
    <xf numFmtId="165" fontId="0" fillId="0" borderId="5" xfId="0" applyNumberFormat="1" applyFont="1" applyBorder="1"/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2" fontId="7" fillId="0" borderId="6" xfId="0" applyNumberFormat="1" applyFont="1" applyBorder="1"/>
    <xf numFmtId="0" fontId="0" fillId="0" borderId="2" xfId="0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2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2" fontId="0" fillId="0" borderId="2" xfId="0" applyNumberForma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7" xfId="0" applyFont="1" applyBorder="1"/>
    <xf numFmtId="0" fontId="8" fillId="5" borderId="5" xfId="0" applyFont="1" applyFill="1" applyBorder="1"/>
    <xf numFmtId="2" fontId="0" fillId="0" borderId="5" xfId="0" applyNumberFormat="1" applyBorder="1"/>
    <xf numFmtId="1" fontId="0" fillId="0" borderId="5" xfId="0" applyNumberFormat="1" applyBorder="1"/>
    <xf numFmtId="165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0" borderId="17" xfId="0" applyBorder="1"/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2" fontId="4" fillId="0" borderId="2" xfId="0" applyNumberFormat="1" applyFont="1" applyBorder="1"/>
    <xf numFmtId="0" fontId="1" fillId="0" borderId="5" xfId="0" applyFont="1" applyBorder="1" applyAlignment="1">
      <alignment wrapText="1"/>
    </xf>
    <xf numFmtId="164" fontId="1" fillId="0" borderId="6" xfId="0" applyNumberFormat="1" applyFont="1" applyBorder="1"/>
    <xf numFmtId="0" fontId="15" fillId="0" borderId="1" xfId="0" applyFont="1" applyBorder="1"/>
    <xf numFmtId="2" fontId="3" fillId="0" borderId="1" xfId="0" applyNumberFormat="1" applyFont="1" applyBorder="1"/>
    <xf numFmtId="0" fontId="2" fillId="0" borderId="2" xfId="0" applyFont="1" applyFill="1" applyBorder="1"/>
    <xf numFmtId="0" fontId="0" fillId="0" borderId="6" xfId="0" applyFill="1" applyBorder="1"/>
    <xf numFmtId="0" fontId="3" fillId="0" borderId="2" xfId="0" applyFont="1" applyBorder="1" applyAlignment="1">
      <alignment horizontal="center" wrapText="1"/>
    </xf>
    <xf numFmtId="0" fontId="0" fillId="0" borderId="7" xfId="0" applyBorder="1"/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/>
    </xf>
    <xf numFmtId="1" fontId="8" fillId="2" borderId="2" xfId="0" applyNumberFormat="1" applyFont="1" applyFill="1" applyBorder="1"/>
    <xf numFmtId="0" fontId="16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2" fontId="1" fillId="0" borderId="2" xfId="0" applyNumberFormat="1" applyFont="1" applyBorder="1"/>
    <xf numFmtId="0" fontId="15" fillId="0" borderId="2" xfId="0" applyFont="1" applyBorder="1" applyAlignment="1">
      <alignment wrapText="1"/>
    </xf>
    <xf numFmtId="0" fontId="0" fillId="3" borderId="0" xfId="0" applyFill="1"/>
    <xf numFmtId="0" fontId="3" fillId="0" borderId="2" xfId="0" applyFont="1" applyBorder="1" applyAlignment="1">
      <alignment horizontal="right"/>
    </xf>
    <xf numFmtId="0" fontId="6" fillId="0" borderId="5" xfId="0" applyFont="1" applyBorder="1"/>
    <xf numFmtId="164" fontId="6" fillId="0" borderId="5" xfId="0" applyNumberFormat="1" applyFont="1" applyBorder="1"/>
    <xf numFmtId="0" fontId="0" fillId="0" borderId="6" xfId="0" applyBorder="1" applyAlignment="1">
      <alignment horizontal="center"/>
    </xf>
    <xf numFmtId="2" fontId="0" fillId="0" borderId="6" xfId="0" applyNumberFormat="1" applyBorder="1"/>
    <xf numFmtId="1" fontId="4" fillId="0" borderId="5" xfId="0" applyNumberFormat="1" applyFont="1" applyBorder="1"/>
    <xf numFmtId="164" fontId="4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8" fillId="0" borderId="5" xfId="0" applyFont="1" applyBorder="1"/>
    <xf numFmtId="0" fontId="7" fillId="0" borderId="5" xfId="0" applyFont="1" applyBorder="1" applyAlignment="1">
      <alignment wrapText="1"/>
    </xf>
    <xf numFmtId="1" fontId="8" fillId="5" borderId="5" xfId="0" applyNumberFormat="1" applyFont="1" applyFill="1" applyBorder="1"/>
    <xf numFmtId="164" fontId="8" fillId="5" borderId="5" xfId="0" applyNumberFormat="1" applyFont="1" applyFill="1" applyBorder="1"/>
    <xf numFmtId="164" fontId="0" fillId="0" borderId="6" xfId="0" applyNumberFormat="1" applyBorder="1"/>
    <xf numFmtId="1" fontId="3" fillId="0" borderId="5" xfId="0" applyNumberFormat="1" applyFont="1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164" fontId="8" fillId="0" borderId="5" xfId="0" applyNumberFormat="1" applyFont="1" applyBorder="1"/>
    <xf numFmtId="0" fontId="0" fillId="0" borderId="5" xfId="0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/>
    <xf numFmtId="49" fontId="12" fillId="0" borderId="2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21" fillId="0" borderId="2" xfId="0" applyFont="1" applyBorder="1"/>
    <xf numFmtId="0" fontId="22" fillId="0" borderId="2" xfId="0" applyFont="1" applyBorder="1" applyAlignment="1">
      <alignment wrapText="1"/>
    </xf>
    <xf numFmtId="0" fontId="22" fillId="0" borderId="2" xfId="0" applyFont="1" applyBorder="1"/>
    <xf numFmtId="0" fontId="23" fillId="0" borderId="2" xfId="0" applyFont="1" applyBorder="1"/>
    <xf numFmtId="0" fontId="1" fillId="0" borderId="0" xfId="0" applyFont="1"/>
    <xf numFmtId="0" fontId="1" fillId="3" borderId="0" xfId="0" applyFont="1" applyFill="1"/>
    <xf numFmtId="0" fontId="8" fillId="0" borderId="18" xfId="0" applyFont="1" applyFill="1" applyBorder="1" applyAlignment="1">
      <alignment horizontal="center"/>
    </xf>
    <xf numFmtId="0" fontId="21" fillId="0" borderId="2" xfId="0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22" fillId="0" borderId="2" xfId="0" applyFont="1" applyFill="1" applyBorder="1"/>
    <xf numFmtId="1" fontId="22" fillId="0" borderId="2" xfId="0" applyNumberFormat="1" applyFont="1" applyFill="1" applyBorder="1"/>
    <xf numFmtId="0" fontId="7" fillId="0" borderId="2" xfId="0" applyFont="1" applyFill="1" applyBorder="1" applyAlignment="1">
      <alignment horizontal="center"/>
    </xf>
    <xf numFmtId="1" fontId="8" fillId="0" borderId="2" xfId="0" applyNumberFormat="1" applyFont="1" applyFill="1" applyBorder="1"/>
    <xf numFmtId="0" fontId="15" fillId="0" borderId="2" xfId="0" applyFont="1" applyFill="1" applyBorder="1"/>
    <xf numFmtId="0" fontId="7" fillId="0" borderId="2" xfId="0" applyFont="1" applyFill="1" applyBorder="1" applyAlignment="1"/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164" fontId="8" fillId="0" borderId="2" xfId="0" applyNumberFormat="1" applyFont="1" applyFill="1" applyBorder="1"/>
    <xf numFmtId="2" fontId="8" fillId="0" borderId="2" xfId="0" applyNumberFormat="1" applyFont="1" applyFill="1" applyBorder="1"/>
    <xf numFmtId="0" fontId="24" fillId="0" borderId="2" xfId="0" applyFont="1" applyFill="1" applyBorder="1"/>
    <xf numFmtId="0" fontId="3" fillId="0" borderId="6" xfId="0" applyFont="1" applyFill="1" applyBorder="1" applyAlignment="1">
      <alignment wrapText="1"/>
    </xf>
    <xf numFmtId="0" fontId="1" fillId="0" borderId="6" xfId="0" applyFont="1" applyFill="1" applyBorder="1"/>
    <xf numFmtId="164" fontId="7" fillId="0" borderId="2" xfId="0" applyNumberFormat="1" applyFont="1" applyFill="1" applyBorder="1"/>
    <xf numFmtId="0" fontId="22" fillId="0" borderId="2" xfId="0" applyFont="1" applyFill="1" applyBorder="1" applyAlignment="1">
      <alignment wrapText="1"/>
    </xf>
    <xf numFmtId="0" fontId="21" fillId="0" borderId="1" xfId="0" applyFont="1" applyFill="1" applyBorder="1"/>
    <xf numFmtId="0" fontId="3" fillId="0" borderId="2" xfId="0" applyFont="1" applyFill="1" applyBorder="1" applyAlignment="1">
      <alignment wrapText="1"/>
    </xf>
    <xf numFmtId="0" fontId="6" fillId="0" borderId="2" xfId="0" applyFont="1" applyFill="1" applyBorder="1"/>
    <xf numFmtId="164" fontId="6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164" fontId="1" fillId="0" borderId="2" xfId="0" applyNumberFormat="1" applyFont="1" applyFill="1" applyBorder="1"/>
    <xf numFmtId="0" fontId="23" fillId="0" borderId="2" xfId="0" applyFont="1" applyFill="1" applyBorder="1"/>
    <xf numFmtId="0" fontId="23" fillId="0" borderId="2" xfId="0" applyFont="1" applyFill="1" applyBorder="1" applyAlignment="1">
      <alignment wrapText="1"/>
    </xf>
    <xf numFmtId="0" fontId="8" fillId="0" borderId="6" xfId="0" applyFont="1" applyFill="1" applyBorder="1"/>
    <xf numFmtId="0" fontId="2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1" fontId="1" fillId="0" borderId="2" xfId="0" applyNumberFormat="1" applyFont="1" applyFill="1" applyBorder="1"/>
    <xf numFmtId="0" fontId="7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/>
    <xf numFmtId="166" fontId="15" fillId="0" borderId="2" xfId="0" applyNumberFormat="1" applyFont="1" applyFill="1" applyBorder="1" applyProtection="1">
      <protection locked="0"/>
    </xf>
    <xf numFmtId="0" fontId="21" fillId="0" borderId="2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8" fillId="0" borderId="10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0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07"/>
  <sheetViews>
    <sheetView view="pageBreakPreview" topLeftCell="A171" zoomScale="79" zoomScaleNormal="90" zoomScaleSheetLayoutView="79" workbookViewId="0">
      <selection activeCell="X199" sqref="X199"/>
    </sheetView>
  </sheetViews>
  <sheetFormatPr defaultRowHeight="12.75" x14ac:dyDescent="0.2"/>
  <cols>
    <col min="1" max="1" width="2.5703125" customWidth="1"/>
    <col min="2" max="2" width="7.85546875" style="126" customWidth="1"/>
    <col min="3" max="3" width="30.140625" customWidth="1"/>
    <col min="4" max="4" width="7.28515625" customWidth="1"/>
    <col min="5" max="5" width="7.7109375" customWidth="1"/>
    <col min="6" max="6" width="7.140625" customWidth="1"/>
    <col min="7" max="7" width="6.85546875" customWidth="1"/>
    <col min="8" max="8" width="7" customWidth="1"/>
    <col min="9" max="9" width="7.5703125" customWidth="1"/>
    <col min="10" max="10" width="9" customWidth="1"/>
    <col min="11" max="11" width="8.140625" customWidth="1"/>
    <col min="12" max="12" width="7.28515625" customWidth="1"/>
    <col min="13" max="13" width="7.42578125" customWidth="1"/>
    <col min="14" max="14" width="6.140625" customWidth="1"/>
    <col min="15" max="15" width="5.140625" customWidth="1"/>
    <col min="16" max="16" width="6.28515625" customWidth="1"/>
    <col min="17" max="17" width="6.140625" customWidth="1"/>
    <col min="18" max="18" width="6.28515625" customWidth="1"/>
    <col min="19" max="19" width="5.140625" style="22" customWidth="1"/>
    <col min="20" max="20" width="6.28515625" style="22" hidden="1" customWidth="1"/>
    <col min="21" max="21" width="7" style="93" customWidth="1"/>
    <col min="22" max="22" width="6.28515625" customWidth="1"/>
  </cols>
  <sheetData>
    <row r="1" spans="2:22" ht="38.25" customHeight="1" x14ac:dyDescent="0.2">
      <c r="B1" s="317" t="s">
        <v>7</v>
      </c>
      <c r="C1" s="319" t="s">
        <v>8</v>
      </c>
      <c r="D1" s="319" t="s">
        <v>9</v>
      </c>
      <c r="E1" s="319" t="s">
        <v>10</v>
      </c>
      <c r="F1" s="319" t="s">
        <v>11</v>
      </c>
      <c r="G1" s="319" t="s">
        <v>12</v>
      </c>
      <c r="H1" s="322" t="s">
        <v>13</v>
      </c>
      <c r="I1" s="322" t="s">
        <v>14</v>
      </c>
      <c r="J1" s="324" t="s">
        <v>26</v>
      </c>
      <c r="K1" s="324"/>
      <c r="L1" s="324"/>
      <c r="M1" s="324"/>
      <c r="N1" s="324"/>
      <c r="O1" s="324" t="s">
        <v>27</v>
      </c>
      <c r="P1" s="324"/>
      <c r="Q1" s="324"/>
      <c r="R1" s="324"/>
      <c r="S1" s="325"/>
      <c r="T1" s="321"/>
      <c r="V1" s="56" t="s">
        <v>83</v>
      </c>
    </row>
    <row r="2" spans="2:22" ht="13.5" thickBot="1" x14ac:dyDescent="0.25">
      <c r="B2" s="318"/>
      <c r="C2" s="320"/>
      <c r="D2" s="320"/>
      <c r="E2" s="320"/>
      <c r="F2" s="320"/>
      <c r="G2" s="320"/>
      <c r="H2" s="323"/>
      <c r="I2" s="323"/>
      <c r="J2" s="12" t="s">
        <v>28</v>
      </c>
      <c r="K2" s="12" t="s">
        <v>15</v>
      </c>
      <c r="L2" s="12" t="s">
        <v>16</v>
      </c>
      <c r="M2" s="12" t="s">
        <v>17</v>
      </c>
      <c r="N2" s="12" t="s">
        <v>18</v>
      </c>
      <c r="O2" s="12" t="s">
        <v>19</v>
      </c>
      <c r="P2" s="12" t="s">
        <v>20</v>
      </c>
      <c r="Q2" s="12" t="s">
        <v>21</v>
      </c>
      <c r="R2" s="13" t="s">
        <v>22</v>
      </c>
      <c r="S2" s="53" t="s">
        <v>23</v>
      </c>
      <c r="T2" s="321"/>
      <c r="V2" s="52"/>
    </row>
    <row r="3" spans="2:22" x14ac:dyDescent="0.2">
      <c r="B3" s="144"/>
      <c r="C3" s="1" t="s">
        <v>0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66"/>
      <c r="S3" s="69"/>
      <c r="T3" s="69"/>
      <c r="U3" s="96"/>
      <c r="V3" s="84"/>
    </row>
    <row r="4" spans="2:22" x14ac:dyDescent="0.2">
      <c r="B4" s="69"/>
      <c r="C4" s="130" t="s">
        <v>1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70"/>
      <c r="S4" s="69"/>
      <c r="T4" s="69"/>
      <c r="U4" s="96"/>
      <c r="V4" s="84"/>
    </row>
    <row r="5" spans="2:22" ht="25.5" x14ac:dyDescent="0.2">
      <c r="B5" s="69" t="s">
        <v>84</v>
      </c>
      <c r="C5" s="5" t="s">
        <v>85</v>
      </c>
      <c r="D5" s="69"/>
      <c r="E5" s="3">
        <v>200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9"/>
      <c r="U5" s="96"/>
      <c r="V5" s="96">
        <v>0.41199999999999998</v>
      </c>
    </row>
    <row r="6" spans="2:22" x14ac:dyDescent="0.2">
      <c r="B6" s="69" t="s">
        <v>138</v>
      </c>
      <c r="C6" s="65" t="s">
        <v>42</v>
      </c>
      <c r="D6" s="69">
        <v>50</v>
      </c>
      <c r="E6" s="69">
        <v>40</v>
      </c>
      <c r="F6" s="69">
        <v>0.9</v>
      </c>
      <c r="G6" s="69">
        <v>0.05</v>
      </c>
      <c r="H6" s="69">
        <v>2.35</v>
      </c>
      <c r="I6" s="69">
        <v>14</v>
      </c>
      <c r="J6" s="69">
        <v>150</v>
      </c>
      <c r="K6" s="69">
        <v>24</v>
      </c>
      <c r="L6" s="69">
        <v>8</v>
      </c>
      <c r="M6" s="69">
        <v>15.5</v>
      </c>
      <c r="N6" s="69">
        <v>0.03</v>
      </c>
      <c r="O6" s="69">
        <v>0</v>
      </c>
      <c r="P6" s="69">
        <v>1.4999999999999999E-2</v>
      </c>
      <c r="Q6" s="69">
        <v>0.02</v>
      </c>
      <c r="R6" s="69">
        <v>0.35</v>
      </c>
      <c r="S6" s="69">
        <v>22.5</v>
      </c>
      <c r="T6" s="69">
        <v>34.5</v>
      </c>
      <c r="U6" s="96">
        <v>1.7250000000000001</v>
      </c>
      <c r="V6" s="96">
        <v>0.52739999999999998</v>
      </c>
    </row>
    <row r="7" spans="2:22" x14ac:dyDescent="0.2">
      <c r="B7" s="69"/>
      <c r="C7" s="65" t="s">
        <v>31</v>
      </c>
      <c r="D7" s="69">
        <v>32</v>
      </c>
      <c r="E7" s="69">
        <v>24</v>
      </c>
      <c r="F7" s="31">
        <v>0.48</v>
      </c>
      <c r="G7" s="31">
        <v>9.6000000000000002E-2</v>
      </c>
      <c r="H7" s="31">
        <v>3.9119999999999999</v>
      </c>
      <c r="I7" s="31">
        <v>18.48</v>
      </c>
      <c r="J7" s="31">
        <v>136.32</v>
      </c>
      <c r="K7" s="31">
        <v>2.4</v>
      </c>
      <c r="L7" s="31">
        <v>5.52</v>
      </c>
      <c r="M7" s="31">
        <v>13.92</v>
      </c>
      <c r="N7" s="31">
        <v>0.216</v>
      </c>
      <c r="O7" s="31">
        <v>0</v>
      </c>
      <c r="P7" s="31">
        <v>2.8799999999999999E-2</v>
      </c>
      <c r="Q7" s="31">
        <v>1.6799999999999999E-2</v>
      </c>
      <c r="R7" s="31">
        <v>0.312</v>
      </c>
      <c r="S7" s="31">
        <v>4.8</v>
      </c>
      <c r="T7" s="69">
        <v>35.76</v>
      </c>
      <c r="U7" s="96">
        <v>1.14432</v>
      </c>
      <c r="V7" s="32">
        <v>0</v>
      </c>
    </row>
    <row r="8" spans="2:22" x14ac:dyDescent="0.2">
      <c r="B8" s="69"/>
      <c r="C8" s="65" t="s">
        <v>32</v>
      </c>
      <c r="D8" s="69">
        <v>10</v>
      </c>
      <c r="E8" s="69">
        <v>8</v>
      </c>
      <c r="F8" s="69">
        <v>0.104</v>
      </c>
      <c r="G8" s="69">
        <v>8.0000000000000002E-3</v>
      </c>
      <c r="H8" s="69">
        <v>0.55200000000000005</v>
      </c>
      <c r="I8" s="69">
        <v>2.8</v>
      </c>
      <c r="J8" s="69">
        <v>16</v>
      </c>
      <c r="K8" s="69">
        <v>2.16</v>
      </c>
      <c r="L8" s="69">
        <v>3.04</v>
      </c>
      <c r="M8" s="69">
        <v>4.4000000000000004</v>
      </c>
      <c r="N8" s="69">
        <v>5.6000000000000001E-2</v>
      </c>
      <c r="O8" s="69">
        <v>0</v>
      </c>
      <c r="P8" s="69">
        <v>4.7999999999999996E-3</v>
      </c>
      <c r="Q8" s="69">
        <v>5.5999999999999999E-3</v>
      </c>
      <c r="R8" s="69">
        <v>0.08</v>
      </c>
      <c r="S8" s="69">
        <v>0.4</v>
      </c>
      <c r="T8" s="69">
        <v>34.6</v>
      </c>
      <c r="U8" s="96">
        <v>0.34599999999999997</v>
      </c>
      <c r="V8" s="32">
        <v>0.93940000000000001</v>
      </c>
    </row>
    <row r="9" spans="2:22" x14ac:dyDescent="0.2">
      <c r="B9" s="69"/>
      <c r="C9" s="65" t="s">
        <v>33</v>
      </c>
      <c r="D9" s="69">
        <v>9.6</v>
      </c>
      <c r="E9" s="69">
        <v>8</v>
      </c>
      <c r="F9" s="69">
        <v>0.104</v>
      </c>
      <c r="G9" s="69">
        <v>8.0000000000000002E-3</v>
      </c>
      <c r="H9" s="69">
        <v>0.55200000000000005</v>
      </c>
      <c r="I9" s="69">
        <v>2.8</v>
      </c>
      <c r="J9" s="69">
        <v>16</v>
      </c>
      <c r="K9" s="69">
        <v>2.16</v>
      </c>
      <c r="L9" s="69">
        <v>3.04</v>
      </c>
      <c r="M9" s="69">
        <v>4.4000000000000004</v>
      </c>
      <c r="N9" s="69">
        <v>5.6000000000000001E-2</v>
      </c>
      <c r="O9" s="69">
        <v>0</v>
      </c>
      <c r="P9" s="69">
        <v>4.7999999999999996E-3</v>
      </c>
      <c r="Q9" s="69">
        <v>5.5999999999999999E-3</v>
      </c>
      <c r="R9" s="69">
        <v>0.08</v>
      </c>
      <c r="S9" s="69">
        <v>0.4</v>
      </c>
      <c r="T9" s="69">
        <v>34.229999999999997</v>
      </c>
      <c r="U9" s="96">
        <v>0.32860800000000001</v>
      </c>
      <c r="V9" s="153">
        <v>33.19</v>
      </c>
    </row>
    <row r="10" spans="2:22" x14ac:dyDescent="0.2">
      <c r="B10" s="69"/>
      <c r="C10" s="65" t="s">
        <v>36</v>
      </c>
      <c r="D10" s="69">
        <v>0.6</v>
      </c>
      <c r="E10" s="69">
        <v>0.6</v>
      </c>
      <c r="F10" s="69">
        <v>2.8799999999999999E-2</v>
      </c>
      <c r="G10" s="69">
        <v>0</v>
      </c>
      <c r="H10" s="69">
        <v>0.114</v>
      </c>
      <c r="I10" s="69">
        <v>0.61199999999999999</v>
      </c>
      <c r="J10" s="86">
        <v>5.3</v>
      </c>
      <c r="K10" s="69">
        <v>0.12</v>
      </c>
      <c r="L10" s="69">
        <v>0.3</v>
      </c>
      <c r="M10" s="87">
        <v>4.08</v>
      </c>
      <c r="N10" s="69">
        <v>1.38E-2</v>
      </c>
      <c r="O10" s="69">
        <v>0</v>
      </c>
      <c r="P10" s="69">
        <v>8.9999999999999998E-4</v>
      </c>
      <c r="Q10" s="69">
        <v>1.0200000000000001E-3</v>
      </c>
      <c r="R10" s="69">
        <v>1.14E-2</v>
      </c>
      <c r="S10" s="69">
        <v>0.27</v>
      </c>
      <c r="T10" s="69">
        <v>176.53</v>
      </c>
      <c r="U10" s="96">
        <v>0.105918</v>
      </c>
      <c r="V10" s="84"/>
    </row>
    <row r="11" spans="2:22" ht="25.5" x14ac:dyDescent="0.2">
      <c r="B11" s="69"/>
      <c r="C11" s="65" t="s">
        <v>34</v>
      </c>
      <c r="D11" s="69">
        <v>4</v>
      </c>
      <c r="E11" s="69">
        <v>4</v>
      </c>
      <c r="F11" s="69">
        <v>0</v>
      </c>
      <c r="G11" s="69">
        <v>3.996</v>
      </c>
      <c r="H11" s="69">
        <v>0</v>
      </c>
      <c r="I11" s="69">
        <v>35.96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70.400000000000006</v>
      </c>
      <c r="U11" s="96">
        <v>0.28160000000000002</v>
      </c>
      <c r="V11" s="84"/>
    </row>
    <row r="12" spans="2:22" x14ac:dyDescent="0.2">
      <c r="B12" s="69"/>
      <c r="C12" s="65" t="s">
        <v>46</v>
      </c>
      <c r="D12" s="69">
        <v>2</v>
      </c>
      <c r="E12" s="69">
        <v>2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11.13</v>
      </c>
      <c r="U12" s="96">
        <v>2.2259999999999999E-2</v>
      </c>
      <c r="V12" s="84"/>
    </row>
    <row r="13" spans="2:22" s="26" customFormat="1" x14ac:dyDescent="0.2">
      <c r="B13" s="69"/>
      <c r="C13" s="65" t="s">
        <v>39</v>
      </c>
      <c r="D13" s="3">
        <v>8.0000000000000002E-3</v>
      </c>
      <c r="E13" s="3">
        <v>8.0000000000000002E-3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50">
        <v>0</v>
      </c>
      <c r="S13" s="3">
        <v>0</v>
      </c>
      <c r="T13" s="3">
        <v>300</v>
      </c>
      <c r="U13" s="32">
        <v>2.3999999999999998E-3</v>
      </c>
      <c r="V13" s="96">
        <v>2.8607999999999998</v>
      </c>
    </row>
    <row r="14" spans="2:22" s="26" customFormat="1" x14ac:dyDescent="0.2">
      <c r="B14" s="69"/>
      <c r="C14" s="65" t="s">
        <v>35</v>
      </c>
      <c r="D14" s="69">
        <v>140</v>
      </c>
      <c r="E14" s="3">
        <v>140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26">
        <v>0</v>
      </c>
      <c r="U14" s="32">
        <v>0</v>
      </c>
      <c r="V14" s="96">
        <v>0.23455999999999999</v>
      </c>
    </row>
    <row r="15" spans="2:22" s="26" customFormat="1" x14ac:dyDescent="0.2">
      <c r="B15" s="69"/>
      <c r="C15" s="78" t="s">
        <v>77</v>
      </c>
      <c r="D15" s="69"/>
      <c r="E15" s="69"/>
      <c r="F15" s="36">
        <v>1.6168</v>
      </c>
      <c r="G15" s="36">
        <v>4.1580000000000004</v>
      </c>
      <c r="H15" s="36">
        <v>7.48</v>
      </c>
      <c r="I15" s="36">
        <v>74.652000000000001</v>
      </c>
      <c r="J15" s="37">
        <v>323.57</v>
      </c>
      <c r="K15" s="36">
        <v>30.84</v>
      </c>
      <c r="L15" s="36">
        <v>19.899999999999999</v>
      </c>
      <c r="M15" s="36">
        <v>42.3</v>
      </c>
      <c r="N15" s="36">
        <v>0.37180000000000002</v>
      </c>
      <c r="O15" s="36">
        <v>0</v>
      </c>
      <c r="P15" s="36">
        <v>5.4300000000000001E-2</v>
      </c>
      <c r="Q15" s="36">
        <v>4.9020000000000001E-2</v>
      </c>
      <c r="R15" s="36">
        <v>0.83340000000000003</v>
      </c>
      <c r="S15" s="36">
        <v>28.37</v>
      </c>
      <c r="U15" s="96">
        <v>3.9561060000000001</v>
      </c>
      <c r="V15" s="96">
        <v>0.34599999999999997</v>
      </c>
    </row>
    <row r="16" spans="2:22" s="26" customFormat="1" x14ac:dyDescent="0.2">
      <c r="B16" s="69"/>
      <c r="C16" s="5" t="s">
        <v>125</v>
      </c>
      <c r="D16" s="69"/>
      <c r="E16" s="3">
        <v>200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U16" s="32"/>
      <c r="V16" s="96">
        <v>0.32860800000000001</v>
      </c>
    </row>
    <row r="17" spans="1:23" s="26" customFormat="1" ht="38.25" x14ac:dyDescent="0.2">
      <c r="B17" s="69" t="s">
        <v>124</v>
      </c>
      <c r="C17" s="78" t="s">
        <v>126</v>
      </c>
      <c r="D17" s="69">
        <v>176.2</v>
      </c>
      <c r="E17" s="69">
        <v>191</v>
      </c>
      <c r="F17" s="36">
        <f>15.5*E17/100</f>
        <v>29.605</v>
      </c>
      <c r="G17" s="36">
        <f>8*E17/100</f>
        <v>15.28</v>
      </c>
      <c r="H17" s="36">
        <f>29.7*E17/100</f>
        <v>56.726999999999997</v>
      </c>
      <c r="I17" s="36">
        <f>245*E17/100</f>
        <v>467.95</v>
      </c>
      <c r="J17" s="37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U17" s="96">
        <v>164.16</v>
      </c>
      <c r="V17" s="96">
        <v>0.14080000000000001</v>
      </c>
    </row>
    <row r="18" spans="1:23" s="26" customFormat="1" x14ac:dyDescent="0.2">
      <c r="B18" s="69"/>
      <c r="C18" s="65" t="s">
        <v>37</v>
      </c>
      <c r="D18" s="69">
        <v>9</v>
      </c>
      <c r="E18" s="69">
        <v>9</v>
      </c>
      <c r="F18" s="69">
        <f>0.8*E18/100</f>
        <v>7.2000000000000008E-2</v>
      </c>
      <c r="G18" s="69">
        <f>72.5*E18/100</f>
        <v>6.5250000000000004</v>
      </c>
      <c r="H18" s="69">
        <f>1.3*E18/100</f>
        <v>0.11700000000000001</v>
      </c>
      <c r="I18" s="69">
        <f>661*E18/100</f>
        <v>59.49</v>
      </c>
      <c r="J18" s="86">
        <f>23*E18/100</f>
        <v>2.0699999999999998</v>
      </c>
      <c r="K18" s="69">
        <f>22*E18/100</f>
        <v>1.98</v>
      </c>
      <c r="L18" s="69">
        <f>3*E18/100</f>
        <v>0.27</v>
      </c>
      <c r="M18" s="85">
        <f>19*E18/100</f>
        <v>1.71</v>
      </c>
      <c r="N18" s="69">
        <f>0.2*E18/100</f>
        <v>1.8000000000000002E-2</v>
      </c>
      <c r="O18" s="69">
        <f>0.5*E18/100</f>
        <v>4.4999999999999998E-2</v>
      </c>
      <c r="P18" s="69">
        <f>0</f>
        <v>0</v>
      </c>
      <c r="Q18" s="96">
        <f>0.01*E18/1000</f>
        <v>8.9999999999999992E-5</v>
      </c>
      <c r="R18" s="69">
        <f>0.1*E18/100</f>
        <v>9.0000000000000011E-3</v>
      </c>
      <c r="S18" s="69">
        <f>0</f>
        <v>0</v>
      </c>
      <c r="U18" s="96">
        <v>337.78</v>
      </c>
      <c r="V18" s="96">
        <v>2.2259999999999999E-2</v>
      </c>
    </row>
    <row r="19" spans="1:23" s="26" customFormat="1" x14ac:dyDescent="0.2">
      <c r="B19" s="69"/>
      <c r="C19" s="39" t="s">
        <v>47</v>
      </c>
      <c r="D19" s="69"/>
      <c r="E19" s="69"/>
      <c r="F19" s="3">
        <f>F17+F18</f>
        <v>29.677</v>
      </c>
      <c r="G19" s="3">
        <f t="shared" ref="G19:S19" si="0">G17+G18</f>
        <v>21.805</v>
      </c>
      <c r="H19" s="3">
        <f t="shared" si="0"/>
        <v>56.843999999999994</v>
      </c>
      <c r="I19" s="3">
        <f t="shared" si="0"/>
        <v>527.43999999999994</v>
      </c>
      <c r="J19" s="3">
        <f t="shared" si="0"/>
        <v>2.0699999999999998</v>
      </c>
      <c r="K19" s="3">
        <f t="shared" si="0"/>
        <v>1.98</v>
      </c>
      <c r="L19" s="3">
        <f t="shared" si="0"/>
        <v>0.27</v>
      </c>
      <c r="M19" s="3">
        <f t="shared" si="0"/>
        <v>1.71</v>
      </c>
      <c r="N19" s="3">
        <f t="shared" si="0"/>
        <v>1.8000000000000002E-2</v>
      </c>
      <c r="O19" s="3">
        <f t="shared" si="0"/>
        <v>4.4999999999999998E-2</v>
      </c>
      <c r="P19" s="3">
        <f t="shared" si="0"/>
        <v>0</v>
      </c>
      <c r="Q19" s="3">
        <f t="shared" si="0"/>
        <v>8.9999999999999992E-5</v>
      </c>
      <c r="R19" s="3">
        <f t="shared" si="0"/>
        <v>9.0000000000000011E-3</v>
      </c>
      <c r="S19" s="3">
        <f t="shared" si="0"/>
        <v>0</v>
      </c>
      <c r="U19" s="96"/>
      <c r="V19" s="96">
        <v>0</v>
      </c>
    </row>
    <row r="20" spans="1:23" s="26" customFormat="1" x14ac:dyDescent="0.2">
      <c r="B20" s="69" t="s">
        <v>73</v>
      </c>
      <c r="C20" s="5" t="s">
        <v>74</v>
      </c>
      <c r="D20" s="313" t="s">
        <v>75</v>
      </c>
      <c r="E20" s="314"/>
      <c r="F20" s="3">
        <f t="shared" ref="F20:S20" si="1">SUM(F21:F23)</f>
        <v>0.1</v>
      </c>
      <c r="G20" s="3">
        <f t="shared" si="1"/>
        <v>0</v>
      </c>
      <c r="H20" s="3">
        <f t="shared" si="1"/>
        <v>15</v>
      </c>
      <c r="I20" s="3">
        <f t="shared" si="1"/>
        <v>57.699999999999996</v>
      </c>
      <c r="J20" s="3">
        <f t="shared" si="1"/>
        <v>12.9</v>
      </c>
      <c r="K20" s="3">
        <f t="shared" si="1"/>
        <v>2.9</v>
      </c>
      <c r="L20" s="3">
        <f t="shared" si="1"/>
        <v>2.2000000000000002</v>
      </c>
      <c r="M20" s="3">
        <f t="shared" si="1"/>
        <v>4.12</v>
      </c>
      <c r="N20" s="3">
        <f t="shared" si="1"/>
        <v>0.4</v>
      </c>
      <c r="O20" s="3">
        <f t="shared" si="1"/>
        <v>0</v>
      </c>
      <c r="P20" s="3">
        <f t="shared" si="1"/>
        <v>0</v>
      </c>
      <c r="Q20" s="3">
        <f t="shared" si="1"/>
        <v>0</v>
      </c>
      <c r="R20" s="50">
        <f t="shared" si="1"/>
        <v>0</v>
      </c>
      <c r="S20" s="3">
        <f t="shared" si="1"/>
        <v>0</v>
      </c>
      <c r="T20" s="69"/>
      <c r="U20" s="96"/>
      <c r="V20" s="84"/>
    </row>
    <row r="21" spans="1:23" s="26" customFormat="1" x14ac:dyDescent="0.2">
      <c r="B21" s="69"/>
      <c r="C21" s="65" t="s">
        <v>40</v>
      </c>
      <c r="D21" s="159">
        <v>50</v>
      </c>
      <c r="E21" s="159">
        <v>50</v>
      </c>
      <c r="F21" s="69">
        <v>0.1</v>
      </c>
      <c r="G21" s="69">
        <v>0</v>
      </c>
      <c r="H21" s="69">
        <v>0</v>
      </c>
      <c r="I21" s="69">
        <v>0.8</v>
      </c>
      <c r="J21" s="85">
        <v>12.4</v>
      </c>
      <c r="K21" s="69">
        <v>2.5</v>
      </c>
      <c r="L21" s="69">
        <v>2.2000000000000002</v>
      </c>
      <c r="M21" s="85">
        <v>4.12</v>
      </c>
      <c r="N21" s="69">
        <v>0.4</v>
      </c>
      <c r="O21" s="69">
        <v>0</v>
      </c>
      <c r="P21" s="69">
        <v>0</v>
      </c>
      <c r="Q21" s="69">
        <v>0</v>
      </c>
      <c r="R21" s="70">
        <v>0</v>
      </c>
      <c r="S21" s="69">
        <v>0</v>
      </c>
      <c r="T21" s="69"/>
      <c r="U21" s="96">
        <v>539.16999999999996</v>
      </c>
      <c r="V21" s="84">
        <f>1*U21/1000</f>
        <v>0.53916999999999993</v>
      </c>
    </row>
    <row r="22" spans="1:23" s="26" customFormat="1" x14ac:dyDescent="0.2">
      <c r="B22" s="69"/>
      <c r="C22" s="65" t="s">
        <v>30</v>
      </c>
      <c r="D22" s="159">
        <v>15</v>
      </c>
      <c r="E22" s="159">
        <v>15</v>
      </c>
      <c r="F22" s="69">
        <v>0</v>
      </c>
      <c r="G22" s="69">
        <v>0</v>
      </c>
      <c r="H22" s="69">
        <v>15</v>
      </c>
      <c r="I22" s="69">
        <v>56.9</v>
      </c>
      <c r="J22" s="85">
        <v>0.5</v>
      </c>
      <c r="K22" s="69">
        <v>0.4</v>
      </c>
      <c r="L22" s="69">
        <v>0</v>
      </c>
      <c r="M22" s="85">
        <v>0</v>
      </c>
      <c r="N22" s="69">
        <v>0</v>
      </c>
      <c r="O22" s="69">
        <v>0</v>
      </c>
      <c r="P22" s="69">
        <v>0</v>
      </c>
      <c r="Q22" s="69">
        <v>0</v>
      </c>
      <c r="R22" s="70">
        <v>0</v>
      </c>
      <c r="S22" s="69">
        <v>0</v>
      </c>
      <c r="T22" s="69"/>
      <c r="U22" s="96">
        <v>50.97</v>
      </c>
      <c r="V22" s="84">
        <f>D22*U22/1000</f>
        <v>0.76454999999999995</v>
      </c>
    </row>
    <row r="23" spans="1:23" s="67" customFormat="1" x14ac:dyDescent="0.2">
      <c r="A23" s="154"/>
      <c r="B23" s="69"/>
      <c r="C23" s="65" t="s">
        <v>35</v>
      </c>
      <c r="D23" s="159">
        <v>150</v>
      </c>
      <c r="E23" s="159">
        <v>150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70">
        <v>0</v>
      </c>
      <c r="S23" s="69">
        <v>0</v>
      </c>
      <c r="T23" s="69"/>
      <c r="U23" s="96">
        <v>0</v>
      </c>
      <c r="V23" s="84">
        <f>D23*U23/1000</f>
        <v>0</v>
      </c>
      <c r="W23" s="154"/>
    </row>
    <row r="24" spans="1:23" x14ac:dyDescent="0.2">
      <c r="B24" s="69"/>
      <c r="C24" s="39" t="s">
        <v>47</v>
      </c>
      <c r="D24" s="130"/>
      <c r="E24" s="130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3"/>
      <c r="U24" s="32"/>
      <c r="V24" s="21">
        <f>SUM(V21:V23)</f>
        <v>1.3037199999999998</v>
      </c>
    </row>
    <row r="25" spans="1:23" x14ac:dyDescent="0.2">
      <c r="B25" s="69"/>
      <c r="C25" s="42" t="s">
        <v>25</v>
      </c>
      <c r="D25" s="42"/>
      <c r="E25" s="42"/>
      <c r="F25" s="42">
        <v>28.915900000000001</v>
      </c>
      <c r="G25" s="42">
        <v>30.662700000000001</v>
      </c>
      <c r="H25" s="42">
        <v>88.719399999999993</v>
      </c>
      <c r="I25" s="42">
        <v>666.63760000000002</v>
      </c>
      <c r="J25" s="42">
        <v>786.74599999999998</v>
      </c>
      <c r="K25" s="42">
        <v>131.678</v>
      </c>
      <c r="L25" s="42">
        <v>135.65799999999999</v>
      </c>
      <c r="M25" s="42">
        <v>183.2825</v>
      </c>
      <c r="N25" s="42">
        <v>8.1952200000000008</v>
      </c>
      <c r="O25" s="42">
        <v>6.3E-2</v>
      </c>
      <c r="P25" s="42">
        <v>0.51873999999999998</v>
      </c>
      <c r="Q25" s="42">
        <v>0.33509100000000003</v>
      </c>
      <c r="R25" s="42">
        <v>6.69116</v>
      </c>
      <c r="S25" s="42">
        <v>45.122500000000002</v>
      </c>
      <c r="T25" s="42"/>
      <c r="U25" s="153">
        <v>33.19</v>
      </c>
      <c r="V25" s="135">
        <v>0.88400000000000001</v>
      </c>
    </row>
    <row r="26" spans="1:23" s="26" customFormat="1" x14ac:dyDescent="0.2">
      <c r="B26" s="16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153"/>
      <c r="V26" s="170"/>
    </row>
    <row r="27" spans="1:23" x14ac:dyDescent="0.2">
      <c r="B27" s="69"/>
      <c r="C27" s="130" t="s">
        <v>3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  <c r="S27" s="69"/>
      <c r="T27" s="69"/>
      <c r="U27" s="96"/>
      <c r="V27" s="84"/>
    </row>
    <row r="28" spans="1:23" ht="24.75" customHeight="1" x14ac:dyDescent="0.2">
      <c r="B28" s="69"/>
      <c r="C28" s="130" t="s">
        <v>1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  <c r="S28" s="69"/>
      <c r="T28" s="69"/>
      <c r="U28" s="96"/>
      <c r="V28" s="84"/>
    </row>
    <row r="29" spans="1:23" ht="25.5" x14ac:dyDescent="0.2">
      <c r="B29" s="69" t="s">
        <v>2</v>
      </c>
      <c r="C29" s="5" t="s">
        <v>48</v>
      </c>
      <c r="D29" s="69"/>
      <c r="E29" s="3">
        <v>200</v>
      </c>
      <c r="F29" s="3"/>
      <c r="G29" s="3"/>
      <c r="H29" s="7"/>
      <c r="I29" s="32"/>
      <c r="J29" s="7"/>
      <c r="K29" s="3"/>
      <c r="L29" s="3"/>
      <c r="M29" s="3"/>
      <c r="N29" s="3"/>
      <c r="O29" s="3"/>
      <c r="P29" s="3"/>
      <c r="Q29" s="3"/>
      <c r="R29" s="3"/>
      <c r="S29" s="3"/>
      <c r="T29" s="69"/>
      <c r="U29" s="96"/>
      <c r="V29" s="84"/>
    </row>
    <row r="30" spans="1:23" ht="17.25" customHeight="1" x14ac:dyDescent="0.2">
      <c r="B30" s="69"/>
      <c r="C30" s="65" t="s">
        <v>41</v>
      </c>
      <c r="D30" s="69">
        <v>40</v>
      </c>
      <c r="E30" s="69">
        <v>32</v>
      </c>
      <c r="F30" s="69">
        <f>1.5*E30/100</f>
        <v>0.48</v>
      </c>
      <c r="G30" s="69">
        <f>0.1*E30/100</f>
        <v>3.2000000000000001E-2</v>
      </c>
      <c r="H30" s="69">
        <f>8.8*E30/100</f>
        <v>2.8160000000000003</v>
      </c>
      <c r="I30" s="69">
        <f>42*E30/100</f>
        <v>13.44</v>
      </c>
      <c r="J30" s="69">
        <f>288*E30/100</f>
        <v>92.16</v>
      </c>
      <c r="K30" s="69">
        <f>37*E30/100</f>
        <v>11.84</v>
      </c>
      <c r="L30" s="69">
        <f>22*E30/100</f>
        <v>7.04</v>
      </c>
      <c r="M30" s="69">
        <f>43*E30/100</f>
        <v>13.76</v>
      </c>
      <c r="N30" s="69">
        <f>1.4*E30/100</f>
        <v>0.44799999999999995</v>
      </c>
      <c r="O30" s="69">
        <v>0</v>
      </c>
      <c r="P30" s="69">
        <f>0.02*E30/100</f>
        <v>6.4000000000000003E-3</v>
      </c>
      <c r="Q30" s="69">
        <f>0.04*E30/100</f>
        <v>1.2800000000000001E-2</v>
      </c>
      <c r="R30" s="69">
        <f>0.2*E30/100</f>
        <v>6.4000000000000001E-2</v>
      </c>
      <c r="S30" s="69">
        <f>10*E30/100</f>
        <v>3.2</v>
      </c>
      <c r="T30" s="69"/>
      <c r="U30" s="96">
        <v>27.82</v>
      </c>
      <c r="V30" s="84">
        <f t="shared" ref="V30:V40" si="2">D30*U30/1000</f>
        <v>1.1128</v>
      </c>
    </row>
    <row r="31" spans="1:23" x14ac:dyDescent="0.2">
      <c r="B31" s="69"/>
      <c r="C31" s="65" t="s">
        <v>42</v>
      </c>
      <c r="D31" s="69">
        <v>20</v>
      </c>
      <c r="E31" s="69">
        <v>16</v>
      </c>
      <c r="F31" s="69">
        <f>1.8*D31/100</f>
        <v>0.36</v>
      </c>
      <c r="G31" s="69">
        <f>0.1*D31/100</f>
        <v>0.02</v>
      </c>
      <c r="H31" s="69">
        <f>4.7*D31/100</f>
        <v>0.94</v>
      </c>
      <c r="I31" s="69">
        <f>28*D31/100</f>
        <v>5.6</v>
      </c>
      <c r="J31" s="69">
        <f>300*D31/100</f>
        <v>60</v>
      </c>
      <c r="K31" s="69">
        <f>48*D31/100</f>
        <v>9.6</v>
      </c>
      <c r="L31" s="69">
        <f>16*D31/100</f>
        <v>3.2</v>
      </c>
      <c r="M31" s="69">
        <f>31*D31/100</f>
        <v>6.2</v>
      </c>
      <c r="N31" s="69">
        <f>0.06*D31/100</f>
        <v>1.2E-2</v>
      </c>
      <c r="O31" s="69">
        <v>0</v>
      </c>
      <c r="P31" s="69">
        <f>0.03*D31/100</f>
        <v>6.0000000000000001E-3</v>
      </c>
      <c r="Q31" s="69">
        <f>0.04*D31/100</f>
        <v>8.0000000000000002E-3</v>
      </c>
      <c r="R31" s="69">
        <f>0.7*D31/100</f>
        <v>0.14000000000000001</v>
      </c>
      <c r="S31" s="69">
        <f>45*D31/100</f>
        <v>9</v>
      </c>
      <c r="T31" s="69"/>
      <c r="U31" s="96">
        <v>34.5</v>
      </c>
      <c r="V31" s="84">
        <f t="shared" si="2"/>
        <v>0.69</v>
      </c>
    </row>
    <row r="32" spans="1:23" x14ac:dyDescent="0.2">
      <c r="B32" s="69"/>
      <c r="C32" s="65" t="s">
        <v>31</v>
      </c>
      <c r="D32" s="69">
        <v>21.4</v>
      </c>
      <c r="E32" s="69">
        <v>16</v>
      </c>
      <c r="F32" s="69">
        <f>2*E32/100</f>
        <v>0.32</v>
      </c>
      <c r="G32" s="69">
        <f>0.4*E32/100</f>
        <v>6.4000000000000001E-2</v>
      </c>
      <c r="H32" s="69">
        <f>16.3*E32/100</f>
        <v>2.6080000000000001</v>
      </c>
      <c r="I32" s="69">
        <f>77*E32/100</f>
        <v>12.32</v>
      </c>
      <c r="J32" s="69">
        <f>568*E32/100</f>
        <v>90.88</v>
      </c>
      <c r="K32" s="69">
        <f>10*E32/100</f>
        <v>1.6</v>
      </c>
      <c r="L32" s="69">
        <f>23*E32/100</f>
        <v>3.68</v>
      </c>
      <c r="M32" s="69">
        <f>58*E32/100</f>
        <v>9.2799999999999994</v>
      </c>
      <c r="N32" s="69">
        <f>0.9*E32/100</f>
        <v>0.14400000000000002</v>
      </c>
      <c r="O32" s="69">
        <v>0</v>
      </c>
      <c r="P32" s="69">
        <f>0.12*E32/100</f>
        <v>1.9199999999999998E-2</v>
      </c>
      <c r="Q32" s="69">
        <f>0.07*E32/100</f>
        <v>1.1200000000000002E-2</v>
      </c>
      <c r="R32" s="69">
        <f>1.3*E32/100</f>
        <v>0.20800000000000002</v>
      </c>
      <c r="S32" s="69">
        <f>20*E32/100</f>
        <v>3.2</v>
      </c>
      <c r="T32" s="69"/>
      <c r="U32" s="96">
        <v>35.76</v>
      </c>
      <c r="V32" s="84">
        <f t="shared" si="2"/>
        <v>0.76526399999999994</v>
      </c>
    </row>
    <row r="33" spans="1:23" x14ac:dyDescent="0.2">
      <c r="B33" s="69"/>
      <c r="C33" s="65" t="s">
        <v>32</v>
      </c>
      <c r="D33" s="69">
        <v>12.6</v>
      </c>
      <c r="E33" s="69">
        <v>10</v>
      </c>
      <c r="F33" s="69">
        <f>1.3*E33/100</f>
        <v>0.13</v>
      </c>
      <c r="G33" s="69">
        <f>0.1*E33/100</f>
        <v>0.01</v>
      </c>
      <c r="H33" s="69">
        <f>6.9*E33/100</f>
        <v>0.69</v>
      </c>
      <c r="I33" s="69">
        <f>35*E33/100</f>
        <v>3.5</v>
      </c>
      <c r="J33" s="69">
        <f>200*E33/100</f>
        <v>20</v>
      </c>
      <c r="K33" s="69">
        <f>27*E33/100</f>
        <v>2.7</v>
      </c>
      <c r="L33" s="69">
        <f>38*E33/100</f>
        <v>3.8</v>
      </c>
      <c r="M33" s="69">
        <f>55*E33/100</f>
        <v>5.5</v>
      </c>
      <c r="N33" s="69">
        <f>0.7*E33/100</f>
        <v>7.0000000000000007E-2</v>
      </c>
      <c r="O33" s="69">
        <v>0</v>
      </c>
      <c r="P33" s="69">
        <f>0.06*E33/100</f>
        <v>6.0000000000000001E-3</v>
      </c>
      <c r="Q33" s="69">
        <f>0.07*E33/100</f>
        <v>7.000000000000001E-3</v>
      </c>
      <c r="R33" s="69">
        <f>1*E33/100</f>
        <v>0.1</v>
      </c>
      <c r="S33" s="69">
        <f>5*E33/100</f>
        <v>0.5</v>
      </c>
      <c r="T33" s="69"/>
      <c r="U33" s="96">
        <v>34.6</v>
      </c>
      <c r="V33" s="84">
        <f t="shared" si="2"/>
        <v>0.43595999999999996</v>
      </c>
    </row>
    <row r="34" spans="1:23" s="26" customFormat="1" x14ac:dyDescent="0.2">
      <c r="B34" s="69"/>
      <c r="C34" s="65" t="s">
        <v>33</v>
      </c>
      <c r="D34" s="69">
        <v>9.6</v>
      </c>
      <c r="E34" s="69">
        <v>8</v>
      </c>
      <c r="F34" s="69">
        <f>1.3*E34/100</f>
        <v>0.10400000000000001</v>
      </c>
      <c r="G34" s="69">
        <f>0.1*E34/100</f>
        <v>8.0000000000000002E-3</v>
      </c>
      <c r="H34" s="69">
        <f>6.9*E34/100</f>
        <v>0.55200000000000005</v>
      </c>
      <c r="I34" s="69">
        <f>35*E34/100</f>
        <v>2.8</v>
      </c>
      <c r="J34" s="69">
        <f>200*E34/100</f>
        <v>16</v>
      </c>
      <c r="K34" s="69">
        <f>27*E34/100</f>
        <v>2.16</v>
      </c>
      <c r="L34" s="69">
        <f>38*E34/100</f>
        <v>3.04</v>
      </c>
      <c r="M34" s="69">
        <f>55*E34/100</f>
        <v>4.4000000000000004</v>
      </c>
      <c r="N34" s="69">
        <f>0.7*E34/100</f>
        <v>5.5999999999999994E-2</v>
      </c>
      <c r="O34" s="69">
        <v>0</v>
      </c>
      <c r="P34" s="69">
        <f>0.06*E34/100</f>
        <v>4.7999999999999996E-3</v>
      </c>
      <c r="Q34" s="69">
        <f>0.07*E34/100</f>
        <v>5.6000000000000008E-3</v>
      </c>
      <c r="R34" s="69">
        <f>1*E34/100</f>
        <v>0.08</v>
      </c>
      <c r="S34" s="69">
        <f>5*E34/100</f>
        <v>0.4</v>
      </c>
      <c r="T34" s="69"/>
      <c r="U34" s="96">
        <v>34.229999999999997</v>
      </c>
      <c r="V34" s="84">
        <f t="shared" si="2"/>
        <v>0.32860799999999996</v>
      </c>
    </row>
    <row r="35" spans="1:23" s="26" customFormat="1" x14ac:dyDescent="0.2">
      <c r="B35" s="69"/>
      <c r="C35" s="65" t="s">
        <v>36</v>
      </c>
      <c r="D35" s="69">
        <v>2.4</v>
      </c>
      <c r="E35" s="69">
        <v>2.4</v>
      </c>
      <c r="F35" s="31">
        <f>4.8*D35/100</f>
        <v>0.1152</v>
      </c>
      <c r="G35" s="31">
        <f>0</f>
        <v>0</v>
      </c>
      <c r="H35" s="31">
        <f>19*D35/100</f>
        <v>0.45600000000000002</v>
      </c>
      <c r="I35" s="31">
        <f>102*D35/100</f>
        <v>2.448</v>
      </c>
      <c r="J35" s="33">
        <f>875*D35/100</f>
        <v>21</v>
      </c>
      <c r="K35" s="31">
        <f>20*D35/100</f>
        <v>0.48</v>
      </c>
      <c r="L35" s="31">
        <f>50*D35/100</f>
        <v>1.2</v>
      </c>
      <c r="M35" s="31">
        <f>68*D35/10</f>
        <v>16.32</v>
      </c>
      <c r="N35" s="31">
        <f>2.3*D35/100</f>
        <v>5.5199999999999999E-2</v>
      </c>
      <c r="O35" s="31">
        <v>0</v>
      </c>
      <c r="P35" s="31">
        <f>0.15*D35/100</f>
        <v>3.5999999999999999E-3</v>
      </c>
      <c r="Q35" s="31">
        <f>0.17*D35/100</f>
        <v>4.0800000000000003E-3</v>
      </c>
      <c r="R35" s="31">
        <f>1.9*D35/100</f>
        <v>4.5599999999999995E-2</v>
      </c>
      <c r="S35" s="31">
        <f>45*D35/100</f>
        <v>1.08</v>
      </c>
      <c r="T35" s="69"/>
      <c r="U35" s="96">
        <v>176.53</v>
      </c>
      <c r="V35" s="84">
        <f t="shared" si="2"/>
        <v>0.42367199999999999</v>
      </c>
    </row>
    <row r="36" spans="1:23" s="26" customFormat="1" ht="25.5" x14ac:dyDescent="0.2">
      <c r="B36" s="69"/>
      <c r="C36" s="65" t="s">
        <v>34</v>
      </c>
      <c r="D36" s="69">
        <v>4</v>
      </c>
      <c r="E36" s="69">
        <v>4</v>
      </c>
      <c r="F36" s="69">
        <v>0</v>
      </c>
      <c r="G36" s="69">
        <f>99.9*E36/100</f>
        <v>3.9960000000000004</v>
      </c>
      <c r="H36" s="69">
        <f>0</f>
        <v>0</v>
      </c>
      <c r="I36" s="69">
        <f>899*E36/100</f>
        <v>35.96</v>
      </c>
      <c r="J36" s="86">
        <v>0</v>
      </c>
      <c r="K36" s="69">
        <v>0</v>
      </c>
      <c r="L36" s="69">
        <v>0</v>
      </c>
      <c r="M36" s="87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/>
      <c r="U36" s="96">
        <v>70.400000000000006</v>
      </c>
      <c r="V36" s="84">
        <f t="shared" si="2"/>
        <v>0.28160000000000002</v>
      </c>
    </row>
    <row r="37" spans="1:23" s="67" customFormat="1" x14ac:dyDescent="0.2">
      <c r="A37" s="154"/>
      <c r="B37" s="69"/>
      <c r="C37" s="65" t="s">
        <v>30</v>
      </c>
      <c r="D37" s="69">
        <v>2</v>
      </c>
      <c r="E37" s="69">
        <v>2</v>
      </c>
      <c r="F37" s="34">
        <f>0</f>
        <v>0</v>
      </c>
      <c r="G37" s="34">
        <v>0</v>
      </c>
      <c r="H37" s="34">
        <f>99.8*E37/100</f>
        <v>1.996</v>
      </c>
      <c r="I37" s="34">
        <f>379*E37/100</f>
        <v>7.58</v>
      </c>
      <c r="J37" s="34">
        <f>3*E37/100</f>
        <v>0.06</v>
      </c>
      <c r="K37" s="34">
        <f>2*E37/100</f>
        <v>0.04</v>
      </c>
      <c r="L37" s="34">
        <f>0</f>
        <v>0</v>
      </c>
      <c r="M37" s="34">
        <f>0.3*E37/100</f>
        <v>6.0000000000000001E-3</v>
      </c>
      <c r="N37" s="34">
        <f>0.3*E37/100</f>
        <v>6.0000000000000001E-3</v>
      </c>
      <c r="O37" s="34">
        <v>0</v>
      </c>
      <c r="P37" s="34">
        <f>0</f>
        <v>0</v>
      </c>
      <c r="Q37" s="34">
        <v>0</v>
      </c>
      <c r="R37" s="34">
        <v>0</v>
      </c>
      <c r="S37" s="34">
        <v>0</v>
      </c>
      <c r="T37" s="69"/>
      <c r="U37" s="96">
        <v>35.159999999999997</v>
      </c>
      <c r="V37" s="84">
        <f t="shared" si="2"/>
        <v>7.0319999999999994E-2</v>
      </c>
      <c r="W37" s="154"/>
    </row>
    <row r="38" spans="1:23" x14ac:dyDescent="0.2">
      <c r="B38" s="69"/>
      <c r="C38" s="65" t="s">
        <v>46</v>
      </c>
      <c r="D38" s="69">
        <v>2</v>
      </c>
      <c r="E38" s="69">
        <v>2</v>
      </c>
      <c r="F38" s="69">
        <v>0</v>
      </c>
      <c r="G38" s="69">
        <v>0</v>
      </c>
      <c r="H38" s="85">
        <v>0</v>
      </c>
      <c r="I38" s="85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/>
      <c r="U38" s="96">
        <v>11.13</v>
      </c>
      <c r="V38" s="84">
        <f t="shared" si="2"/>
        <v>2.2260000000000002E-2</v>
      </c>
    </row>
    <row r="39" spans="1:23" x14ac:dyDescent="0.2">
      <c r="B39" s="69"/>
      <c r="C39" s="65" t="s">
        <v>39</v>
      </c>
      <c r="D39" s="69">
        <v>8.0000000000000002E-3</v>
      </c>
      <c r="E39" s="69">
        <v>8.0000000000000002E-3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3"/>
      <c r="U39" s="96">
        <v>300</v>
      </c>
      <c r="V39" s="84">
        <f t="shared" si="2"/>
        <v>2.3999999999999998E-3</v>
      </c>
    </row>
    <row r="40" spans="1:23" x14ac:dyDescent="0.2">
      <c r="B40" s="69"/>
      <c r="C40" s="65" t="s">
        <v>43</v>
      </c>
      <c r="D40" s="69">
        <v>160</v>
      </c>
      <c r="E40" s="69">
        <v>160</v>
      </c>
      <c r="F40" s="69">
        <v>0</v>
      </c>
      <c r="G40" s="69">
        <v>0</v>
      </c>
      <c r="H40" s="86">
        <v>0</v>
      </c>
      <c r="I40" s="86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/>
      <c r="U40" s="96">
        <v>0</v>
      </c>
      <c r="V40" s="84">
        <f t="shared" si="2"/>
        <v>0</v>
      </c>
    </row>
    <row r="41" spans="1:23" x14ac:dyDescent="0.2">
      <c r="B41" s="69"/>
      <c r="C41" s="5" t="s">
        <v>77</v>
      </c>
      <c r="D41" s="3"/>
      <c r="E41" s="3"/>
      <c r="F41" s="58">
        <f>SUM(F30:F40)</f>
        <v>1.5092000000000001</v>
      </c>
      <c r="G41" s="58">
        <f t="shared" ref="G41:T41" si="3">SUM(G30:G40)</f>
        <v>4.1300000000000008</v>
      </c>
      <c r="H41" s="58">
        <f t="shared" si="3"/>
        <v>10.058</v>
      </c>
      <c r="I41" s="58">
        <f t="shared" si="3"/>
        <v>83.647999999999996</v>
      </c>
      <c r="J41" s="58">
        <f t="shared" si="3"/>
        <v>300.09999999999997</v>
      </c>
      <c r="K41" s="58">
        <f t="shared" si="3"/>
        <v>28.419999999999998</v>
      </c>
      <c r="L41" s="58">
        <f t="shared" si="3"/>
        <v>21.959999999999997</v>
      </c>
      <c r="M41" s="58">
        <f t="shared" si="3"/>
        <v>55.466000000000001</v>
      </c>
      <c r="N41" s="58">
        <f t="shared" si="3"/>
        <v>0.79120000000000001</v>
      </c>
      <c r="O41" s="58">
        <f t="shared" si="3"/>
        <v>0</v>
      </c>
      <c r="P41" s="58">
        <f t="shared" si="3"/>
        <v>4.5999999999999999E-2</v>
      </c>
      <c r="Q41" s="58">
        <f t="shared" si="3"/>
        <v>4.8680000000000001E-2</v>
      </c>
      <c r="R41" s="58">
        <f t="shared" si="3"/>
        <v>0.63759999999999994</v>
      </c>
      <c r="S41" s="58">
        <f t="shared" si="3"/>
        <v>17.379999999999995</v>
      </c>
      <c r="T41" s="58">
        <f t="shared" si="3"/>
        <v>0</v>
      </c>
      <c r="U41" s="32"/>
      <c r="V41" s="21">
        <f>SUM(V30:V40)</f>
        <v>4.1328839999999989</v>
      </c>
    </row>
    <row r="42" spans="1:23" x14ac:dyDescent="0.2">
      <c r="B42" s="69" t="s">
        <v>108</v>
      </c>
      <c r="C42" s="5" t="s">
        <v>109</v>
      </c>
      <c r="D42" s="69"/>
      <c r="E42" s="3"/>
      <c r="F42" s="3"/>
      <c r="G42" s="3"/>
      <c r="H42" s="3"/>
      <c r="I42" s="32"/>
      <c r="J42" s="3"/>
      <c r="K42" s="32"/>
      <c r="L42" s="32"/>
      <c r="M42" s="7"/>
      <c r="N42" s="3"/>
      <c r="O42" s="3"/>
      <c r="P42" s="3"/>
      <c r="Q42" s="3"/>
      <c r="R42" s="3"/>
      <c r="S42" s="32"/>
      <c r="T42" s="69"/>
      <c r="U42" s="96"/>
      <c r="V42" s="84"/>
    </row>
    <row r="43" spans="1:23" x14ac:dyDescent="0.2">
      <c r="B43" s="69"/>
      <c r="C43" s="155" t="s">
        <v>119</v>
      </c>
      <c r="D43" s="69">
        <v>71.400000000000006</v>
      </c>
      <c r="E43" s="69">
        <v>70</v>
      </c>
      <c r="F43" s="69">
        <f>11*E43/100</f>
        <v>7.7</v>
      </c>
      <c r="G43" s="69">
        <f>23.9*E43/100</f>
        <v>16.73</v>
      </c>
      <c r="H43" s="69">
        <v>0</v>
      </c>
      <c r="I43" s="96">
        <f>261*E43/100</f>
        <v>182.7</v>
      </c>
      <c r="J43" s="69">
        <f>220*E43/100</f>
        <v>154</v>
      </c>
      <c r="K43" s="85">
        <f>35*E43/100</f>
        <v>24.5</v>
      </c>
      <c r="L43" s="85">
        <f>20*E43/100</f>
        <v>14</v>
      </c>
      <c r="M43" s="85">
        <f>159*E43/100</f>
        <v>111.3</v>
      </c>
      <c r="N43" s="69">
        <f>1.8*E43/100</f>
        <v>1.26</v>
      </c>
      <c r="O43" s="69">
        <v>0</v>
      </c>
      <c r="P43" s="69">
        <v>0</v>
      </c>
      <c r="Q43" s="69">
        <v>0</v>
      </c>
      <c r="R43" s="69">
        <v>0</v>
      </c>
      <c r="S43" s="96">
        <v>0</v>
      </c>
      <c r="T43" s="69"/>
      <c r="U43" s="96">
        <v>254.37</v>
      </c>
      <c r="V43" s="84">
        <f>D43*U43/1000</f>
        <v>18.162018</v>
      </c>
    </row>
    <row r="44" spans="1:23" x14ac:dyDescent="0.2">
      <c r="B44" s="144"/>
      <c r="C44" s="71" t="s">
        <v>77</v>
      </c>
      <c r="D44" s="21"/>
      <c r="E44" s="21"/>
      <c r="F44" s="21">
        <v>7.7</v>
      </c>
      <c r="G44" s="21">
        <v>16.73</v>
      </c>
      <c r="H44" s="21">
        <v>0</v>
      </c>
      <c r="I44" s="21">
        <v>182.7</v>
      </c>
      <c r="J44" s="21">
        <v>154</v>
      </c>
      <c r="K44" s="21">
        <v>24.5</v>
      </c>
      <c r="L44" s="21">
        <v>14</v>
      </c>
      <c r="M44" s="21">
        <v>111.3</v>
      </c>
      <c r="N44" s="21">
        <v>1.26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69"/>
      <c r="U44" s="96"/>
      <c r="V44" s="21">
        <f>V43</f>
        <v>18.162018</v>
      </c>
    </row>
    <row r="45" spans="1:23" x14ac:dyDescent="0.2">
      <c r="B45" s="136" t="s">
        <v>98</v>
      </c>
      <c r="C45" s="71" t="s">
        <v>99</v>
      </c>
      <c r="D45" s="72"/>
      <c r="E45" s="73">
        <v>50</v>
      </c>
      <c r="F45" s="29"/>
      <c r="G45" s="74"/>
      <c r="H45" s="74"/>
      <c r="I45" s="74"/>
      <c r="J45" s="75"/>
      <c r="K45" s="74"/>
      <c r="L45" s="74"/>
      <c r="M45" s="75"/>
      <c r="N45" s="74"/>
      <c r="O45" s="74"/>
      <c r="P45" s="74"/>
      <c r="Q45" s="74"/>
      <c r="R45" s="74"/>
      <c r="S45" s="74"/>
      <c r="T45" s="26"/>
      <c r="U45" s="32"/>
      <c r="V45" s="84"/>
    </row>
    <row r="46" spans="1:23" s="26" customFormat="1" x14ac:dyDescent="0.2">
      <c r="B46" s="136"/>
      <c r="C46" s="30" t="s">
        <v>100</v>
      </c>
      <c r="D46" s="31">
        <v>50</v>
      </c>
      <c r="E46" s="31">
        <v>50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U46" s="96">
        <v>0</v>
      </c>
      <c r="V46" s="84">
        <f t="shared" ref="V46:V54" si="4">D46*U46/1000</f>
        <v>0</v>
      </c>
    </row>
    <row r="47" spans="1:23" ht="15.75" customHeight="1" x14ac:dyDescent="0.2">
      <c r="B47" s="136"/>
      <c r="C47" s="30" t="s">
        <v>34</v>
      </c>
      <c r="D47" s="31">
        <v>2.5</v>
      </c>
      <c r="E47" s="31">
        <v>2.5</v>
      </c>
      <c r="F47" s="31">
        <v>0</v>
      </c>
      <c r="G47" s="31">
        <v>2.5</v>
      </c>
      <c r="H47" s="31">
        <v>0</v>
      </c>
      <c r="I47" s="31">
        <v>22.4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26"/>
      <c r="U47" s="96">
        <v>83.43</v>
      </c>
      <c r="V47" s="84">
        <f t="shared" si="4"/>
        <v>0.20857500000000001</v>
      </c>
    </row>
    <row r="48" spans="1:23" ht="27.75" customHeight="1" x14ac:dyDescent="0.2">
      <c r="B48" s="136"/>
      <c r="C48" s="30" t="s">
        <v>38</v>
      </c>
      <c r="D48" s="31">
        <v>2.5</v>
      </c>
      <c r="E48" s="31">
        <v>2.5</v>
      </c>
      <c r="F48" s="31">
        <v>0.3</v>
      </c>
      <c r="G48" s="31">
        <v>0</v>
      </c>
      <c r="H48" s="31">
        <v>1.7</v>
      </c>
      <c r="I48" s="31">
        <v>8.4</v>
      </c>
      <c r="J48" s="31">
        <v>4.4000000000000004</v>
      </c>
      <c r="K48" s="31">
        <v>0.6</v>
      </c>
      <c r="L48" s="31">
        <v>1.1000000000000001</v>
      </c>
      <c r="M48" s="31">
        <v>2.9</v>
      </c>
      <c r="N48" s="31">
        <v>0.05</v>
      </c>
      <c r="O48" s="31">
        <v>0</v>
      </c>
      <c r="P48" s="31">
        <v>0</v>
      </c>
      <c r="Q48" s="31">
        <v>0</v>
      </c>
      <c r="R48" s="31">
        <v>0.03</v>
      </c>
      <c r="S48" s="31">
        <v>0</v>
      </c>
      <c r="T48" s="26"/>
      <c r="U48" s="96">
        <v>27.31</v>
      </c>
      <c r="V48" s="84">
        <f t="shared" si="4"/>
        <v>6.8274999999999988E-2</v>
      </c>
    </row>
    <row r="49" spans="2:22" ht="15.75" customHeight="1" x14ac:dyDescent="0.2">
      <c r="B49" s="136"/>
      <c r="C49" s="30" t="s">
        <v>36</v>
      </c>
      <c r="D49" s="31">
        <v>2</v>
      </c>
      <c r="E49" s="31">
        <v>2</v>
      </c>
      <c r="F49" s="31">
        <v>0.1</v>
      </c>
      <c r="G49" s="31">
        <v>0</v>
      </c>
      <c r="H49" s="31">
        <v>0.4</v>
      </c>
      <c r="I49" s="31">
        <v>2</v>
      </c>
      <c r="J49" s="31">
        <v>17.5</v>
      </c>
      <c r="K49" s="31">
        <v>0.4</v>
      </c>
      <c r="L49" s="31">
        <v>1</v>
      </c>
      <c r="M49" s="31">
        <v>1.36</v>
      </c>
      <c r="N49" s="31">
        <v>0.05</v>
      </c>
      <c r="O49" s="31">
        <v>0</v>
      </c>
      <c r="P49" s="31">
        <v>0</v>
      </c>
      <c r="Q49" s="31">
        <v>0</v>
      </c>
      <c r="R49" s="31">
        <v>0.04</v>
      </c>
      <c r="S49" s="31">
        <v>0.9</v>
      </c>
      <c r="T49" s="26"/>
      <c r="U49" s="96">
        <v>120</v>
      </c>
      <c r="V49" s="84">
        <f t="shared" si="4"/>
        <v>0.24</v>
      </c>
    </row>
    <row r="50" spans="2:22" s="26" customFormat="1" x14ac:dyDescent="0.2">
      <c r="B50" s="136"/>
      <c r="C50" s="30" t="s">
        <v>32</v>
      </c>
      <c r="D50" s="31">
        <v>5</v>
      </c>
      <c r="E50" s="31">
        <v>4</v>
      </c>
      <c r="F50" s="31">
        <v>0.06</v>
      </c>
      <c r="G50" s="31">
        <v>0</v>
      </c>
      <c r="H50" s="31">
        <v>0.28000000000000003</v>
      </c>
      <c r="I50" s="31">
        <v>1.4</v>
      </c>
      <c r="J50" s="31">
        <v>8</v>
      </c>
      <c r="K50" s="31">
        <v>1</v>
      </c>
      <c r="L50" s="31">
        <v>1.5</v>
      </c>
      <c r="M50" s="31">
        <v>2.2000000000000002</v>
      </c>
      <c r="N50" s="31">
        <v>0</v>
      </c>
      <c r="O50" s="31">
        <v>0</v>
      </c>
      <c r="P50" s="31">
        <v>0</v>
      </c>
      <c r="Q50" s="31">
        <v>0</v>
      </c>
      <c r="R50" s="31">
        <v>0.04</v>
      </c>
      <c r="S50" s="31">
        <v>0.2</v>
      </c>
      <c r="U50" s="96">
        <v>32.71</v>
      </c>
      <c r="V50" s="84">
        <f t="shared" si="4"/>
        <v>0.16355</v>
      </c>
    </row>
    <row r="51" spans="2:22" s="26" customFormat="1" x14ac:dyDescent="0.2">
      <c r="B51" s="136"/>
      <c r="C51" s="30" t="s">
        <v>33</v>
      </c>
      <c r="D51" s="31">
        <v>1.2</v>
      </c>
      <c r="E51" s="31">
        <v>1</v>
      </c>
      <c r="F51" s="31">
        <v>0.01</v>
      </c>
      <c r="G51" s="31">
        <v>0</v>
      </c>
      <c r="H51" s="31">
        <v>0.08</v>
      </c>
      <c r="I51" s="31">
        <v>0.41</v>
      </c>
      <c r="J51" s="31">
        <v>1.75</v>
      </c>
      <c r="K51" s="31">
        <v>0.31</v>
      </c>
      <c r="L51" s="31">
        <v>0.14000000000000001</v>
      </c>
      <c r="M51" s="31">
        <v>0.57999999999999996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0.1</v>
      </c>
      <c r="U51" s="96">
        <v>29.62</v>
      </c>
      <c r="V51" s="84">
        <f t="shared" si="4"/>
        <v>3.5543999999999999E-2</v>
      </c>
    </row>
    <row r="52" spans="2:22" s="26" customFormat="1" x14ac:dyDescent="0.2">
      <c r="B52" s="136"/>
      <c r="C52" s="30" t="s">
        <v>30</v>
      </c>
      <c r="D52" s="31">
        <v>0.75</v>
      </c>
      <c r="E52" s="31">
        <v>0.75</v>
      </c>
      <c r="F52" s="31">
        <v>0</v>
      </c>
      <c r="G52" s="31">
        <v>0</v>
      </c>
      <c r="H52" s="31">
        <v>0.7</v>
      </c>
      <c r="I52" s="31">
        <v>2.8</v>
      </c>
      <c r="J52" s="31">
        <v>0.02</v>
      </c>
      <c r="K52" s="31">
        <v>0.01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U52" s="96">
        <v>50.97</v>
      </c>
      <c r="V52" s="84">
        <f t="shared" si="4"/>
        <v>3.8227499999999998E-2</v>
      </c>
    </row>
    <row r="53" spans="2:22" s="26" customFormat="1" x14ac:dyDescent="0.2">
      <c r="B53" s="136"/>
      <c r="C53" s="30" t="s">
        <v>46</v>
      </c>
      <c r="D53" s="31">
        <v>0.5</v>
      </c>
      <c r="E53" s="31">
        <v>0.5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U53" s="96">
        <v>11.63</v>
      </c>
      <c r="V53" s="84">
        <f t="shared" si="4"/>
        <v>5.8150000000000007E-3</v>
      </c>
    </row>
    <row r="54" spans="2:22" s="26" customFormat="1" x14ac:dyDescent="0.2">
      <c r="B54" s="136"/>
      <c r="C54" s="76" t="s">
        <v>39</v>
      </c>
      <c r="D54" s="34">
        <v>0.02</v>
      </c>
      <c r="E54" s="34">
        <v>0.02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U54" s="96">
        <v>300</v>
      </c>
      <c r="V54" s="84">
        <f t="shared" si="4"/>
        <v>6.0000000000000001E-3</v>
      </c>
    </row>
    <row r="55" spans="2:22" s="26" customFormat="1" x14ac:dyDescent="0.2">
      <c r="B55" s="136"/>
      <c r="C55" s="71" t="s">
        <v>77</v>
      </c>
      <c r="D55" s="79"/>
      <c r="E55" s="79"/>
      <c r="F55" s="79">
        <f>SUM(F46:F54)</f>
        <v>0.47000000000000003</v>
      </c>
      <c r="G55" s="79">
        <f t="shared" ref="G55:S55" si="5">SUM(G46:G54)</f>
        <v>2.5</v>
      </c>
      <c r="H55" s="79">
        <f t="shared" si="5"/>
        <v>3.16</v>
      </c>
      <c r="I55" s="79">
        <f t="shared" si="5"/>
        <v>37.409999999999989</v>
      </c>
      <c r="J55" s="79">
        <f t="shared" si="5"/>
        <v>31.669999999999998</v>
      </c>
      <c r="K55" s="79">
        <f t="shared" si="5"/>
        <v>2.3199999999999998</v>
      </c>
      <c r="L55" s="79">
        <f t="shared" si="5"/>
        <v>3.74</v>
      </c>
      <c r="M55" s="79">
        <f t="shared" si="5"/>
        <v>7.04</v>
      </c>
      <c r="N55" s="79">
        <f t="shared" si="5"/>
        <v>0.1</v>
      </c>
      <c r="O55" s="79">
        <f t="shared" si="5"/>
        <v>0</v>
      </c>
      <c r="P55" s="79">
        <f t="shared" si="5"/>
        <v>0</v>
      </c>
      <c r="Q55" s="79">
        <f t="shared" si="5"/>
        <v>0</v>
      </c>
      <c r="R55" s="79">
        <f t="shared" si="5"/>
        <v>0.11000000000000001</v>
      </c>
      <c r="S55" s="79">
        <f t="shared" si="5"/>
        <v>1.2000000000000002</v>
      </c>
      <c r="U55" s="96"/>
      <c r="V55" s="21">
        <f>SUM(V46:V54)</f>
        <v>0.76598650000000001</v>
      </c>
    </row>
    <row r="56" spans="2:22" s="26" customFormat="1" ht="25.5" x14ac:dyDescent="0.2">
      <c r="B56" s="31" t="s">
        <v>70</v>
      </c>
      <c r="C56" s="28" t="s">
        <v>71</v>
      </c>
      <c r="D56" s="31"/>
      <c r="E56" s="29">
        <v>150</v>
      </c>
      <c r="F56" s="29"/>
      <c r="G56" s="29"/>
      <c r="H56" s="59"/>
      <c r="I56" s="29"/>
      <c r="J56" s="59"/>
      <c r="K56" s="49"/>
      <c r="L56" s="29"/>
      <c r="M56" s="29"/>
      <c r="N56" s="29"/>
      <c r="O56" s="29"/>
      <c r="P56" s="29"/>
      <c r="Q56" s="29"/>
      <c r="R56" s="29"/>
      <c r="S56" s="29"/>
      <c r="T56" s="69"/>
      <c r="U56" s="96"/>
      <c r="V56" s="84"/>
    </row>
    <row r="57" spans="2:22" s="26" customFormat="1" x14ac:dyDescent="0.2">
      <c r="B57" s="31"/>
      <c r="C57" s="30" t="s">
        <v>72</v>
      </c>
      <c r="D57" s="31">
        <v>50</v>
      </c>
      <c r="E57" s="31">
        <v>50</v>
      </c>
      <c r="F57" s="31">
        <v>6.3</v>
      </c>
      <c r="G57" s="31">
        <v>0.67</v>
      </c>
      <c r="H57" s="33">
        <v>42.5</v>
      </c>
      <c r="I57" s="31">
        <v>205.57</v>
      </c>
      <c r="J57" s="60">
        <v>75.64</v>
      </c>
      <c r="K57" s="60">
        <v>10.98</v>
      </c>
      <c r="L57" s="31">
        <v>9.76</v>
      </c>
      <c r="M57" s="31">
        <v>53</v>
      </c>
      <c r="N57" s="31">
        <v>0.73</v>
      </c>
      <c r="O57" s="31">
        <v>0</v>
      </c>
      <c r="P57" s="31">
        <v>0.1</v>
      </c>
      <c r="Q57" s="31">
        <v>0.04</v>
      </c>
      <c r="R57" s="31">
        <v>0.74</v>
      </c>
      <c r="S57" s="31">
        <v>0</v>
      </c>
      <c r="T57" s="69"/>
      <c r="U57" s="96">
        <v>44.89</v>
      </c>
      <c r="V57" s="84">
        <f>D57*U57/1000</f>
        <v>2.2444999999999999</v>
      </c>
    </row>
    <row r="58" spans="2:22" x14ac:dyDescent="0.2">
      <c r="B58" s="31"/>
      <c r="C58" s="30" t="s">
        <v>46</v>
      </c>
      <c r="D58" s="31">
        <v>1.6</v>
      </c>
      <c r="E58" s="31">
        <v>1.6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69"/>
      <c r="U58" s="96">
        <v>11.63</v>
      </c>
      <c r="V58" s="84">
        <f>D58*U58/1000</f>
        <v>1.8608E-2</v>
      </c>
    </row>
    <row r="59" spans="2:22" x14ac:dyDescent="0.2">
      <c r="B59" s="31"/>
      <c r="C59" s="30" t="s">
        <v>37</v>
      </c>
      <c r="D59" s="31">
        <v>5.3</v>
      </c>
      <c r="E59" s="31">
        <v>5.3</v>
      </c>
      <c r="F59" s="69">
        <f>0.8*E59/100</f>
        <v>4.24E-2</v>
      </c>
      <c r="G59" s="69">
        <f>72.5*E59/100</f>
        <v>3.8424999999999998</v>
      </c>
      <c r="H59" s="69">
        <f>1.3*E59/100</f>
        <v>6.8900000000000003E-2</v>
      </c>
      <c r="I59" s="69">
        <f>661*E59/100</f>
        <v>35.032999999999994</v>
      </c>
      <c r="J59" s="86">
        <f>23*E59/100</f>
        <v>1.2189999999999999</v>
      </c>
      <c r="K59" s="69">
        <f>22*E59/100</f>
        <v>1.1659999999999999</v>
      </c>
      <c r="L59" s="69">
        <f>3*E59/100</f>
        <v>0.15899999999999997</v>
      </c>
      <c r="M59" s="85">
        <f>19*E59/100</f>
        <v>1.0070000000000001</v>
      </c>
      <c r="N59" s="69">
        <f>0.2*E59/100</f>
        <v>1.06E-2</v>
      </c>
      <c r="O59" s="69">
        <f>0.5*E59/100</f>
        <v>2.6499999999999999E-2</v>
      </c>
      <c r="P59" s="69">
        <f>0</f>
        <v>0</v>
      </c>
      <c r="Q59" s="96">
        <f>0.01*E59/1000</f>
        <v>5.3000000000000001E-5</v>
      </c>
      <c r="R59" s="69">
        <f>0.1*E59/100</f>
        <v>5.3E-3</v>
      </c>
      <c r="S59" s="69">
        <f>0</f>
        <v>0</v>
      </c>
      <c r="T59" s="69"/>
      <c r="U59" s="96">
        <v>337.78</v>
      </c>
      <c r="V59" s="84">
        <f>D59*U59/1000</f>
        <v>1.7902339999999997</v>
      </c>
    </row>
    <row r="60" spans="2:22" x14ac:dyDescent="0.2">
      <c r="B60" s="31"/>
      <c r="C60" s="28" t="s">
        <v>77</v>
      </c>
      <c r="D60" s="29"/>
      <c r="E60" s="29"/>
      <c r="F60" s="29">
        <f>SUM(F57:F59)</f>
        <v>6.3423999999999996</v>
      </c>
      <c r="G60" s="29">
        <f t="shared" ref="G60:T60" si="6">SUM(G57:G59)</f>
        <v>4.5125000000000002</v>
      </c>
      <c r="H60" s="29">
        <f t="shared" si="6"/>
        <v>42.568899999999999</v>
      </c>
      <c r="I60" s="29">
        <f t="shared" si="6"/>
        <v>240.60299999999998</v>
      </c>
      <c r="J60" s="29">
        <f t="shared" si="6"/>
        <v>76.858999999999995</v>
      </c>
      <c r="K60" s="29">
        <f t="shared" si="6"/>
        <v>12.146000000000001</v>
      </c>
      <c r="L60" s="29">
        <f t="shared" si="6"/>
        <v>9.9190000000000005</v>
      </c>
      <c r="M60" s="29">
        <f t="shared" si="6"/>
        <v>54.006999999999998</v>
      </c>
      <c r="N60" s="29">
        <f t="shared" si="6"/>
        <v>0.74060000000000004</v>
      </c>
      <c r="O60" s="29">
        <f t="shared" si="6"/>
        <v>2.6499999999999999E-2</v>
      </c>
      <c r="P60" s="29">
        <f t="shared" si="6"/>
        <v>0.1</v>
      </c>
      <c r="Q60" s="29">
        <f t="shared" si="6"/>
        <v>4.0052999999999998E-2</v>
      </c>
      <c r="R60" s="29">
        <f t="shared" si="6"/>
        <v>0.74529999999999996</v>
      </c>
      <c r="S60" s="29">
        <f t="shared" si="6"/>
        <v>0</v>
      </c>
      <c r="T60" s="29">
        <f t="shared" si="6"/>
        <v>0</v>
      </c>
      <c r="U60" s="95"/>
      <c r="V60" s="21">
        <f>SUM(V57:V59)</f>
        <v>4.0533419999999998</v>
      </c>
    </row>
    <row r="61" spans="2:22" x14ac:dyDescent="0.2">
      <c r="B61" s="69" t="s">
        <v>73</v>
      </c>
      <c r="C61" s="5" t="s">
        <v>74</v>
      </c>
      <c r="D61" s="313" t="s">
        <v>75</v>
      </c>
      <c r="E61" s="314"/>
      <c r="F61" s="4"/>
      <c r="G61" s="4"/>
      <c r="H61" s="4"/>
      <c r="I61" s="4"/>
      <c r="J61" s="11"/>
      <c r="K61" s="4"/>
      <c r="L61" s="4"/>
      <c r="M61" s="11"/>
      <c r="N61" s="4"/>
      <c r="O61" s="4"/>
      <c r="P61" s="4"/>
      <c r="Q61" s="4"/>
      <c r="R61" s="51"/>
      <c r="S61" s="4"/>
      <c r="T61" s="69"/>
      <c r="U61" s="96"/>
      <c r="V61" s="84"/>
    </row>
    <row r="62" spans="2:22" x14ac:dyDescent="0.2">
      <c r="B62" s="69"/>
      <c r="C62" s="65" t="s">
        <v>40</v>
      </c>
      <c r="D62" s="159">
        <v>50</v>
      </c>
      <c r="E62" s="159">
        <v>50</v>
      </c>
      <c r="F62" s="69">
        <v>0.1</v>
      </c>
      <c r="G62" s="69">
        <v>0</v>
      </c>
      <c r="H62" s="69">
        <v>0</v>
      </c>
      <c r="I62" s="69">
        <v>0.8</v>
      </c>
      <c r="J62" s="85">
        <v>12.4</v>
      </c>
      <c r="K62" s="69">
        <v>2.5</v>
      </c>
      <c r="L62" s="69">
        <v>2.2000000000000002</v>
      </c>
      <c r="M62" s="85">
        <v>4.12</v>
      </c>
      <c r="N62" s="69">
        <v>0.4</v>
      </c>
      <c r="O62" s="69">
        <v>0</v>
      </c>
      <c r="P62" s="69">
        <v>0</v>
      </c>
      <c r="Q62" s="69">
        <v>0</v>
      </c>
      <c r="R62" s="70">
        <v>0</v>
      </c>
      <c r="S62" s="69">
        <v>0</v>
      </c>
      <c r="T62" s="69"/>
      <c r="U62" s="96">
        <v>412</v>
      </c>
      <c r="V62" s="84">
        <f>1*U62/1000</f>
        <v>0.41199999999999998</v>
      </c>
    </row>
    <row r="63" spans="2:22" x14ac:dyDescent="0.2">
      <c r="B63" s="69"/>
      <c r="C63" s="65" t="s">
        <v>30</v>
      </c>
      <c r="D63" s="159">
        <v>15</v>
      </c>
      <c r="E63" s="159">
        <v>15</v>
      </c>
      <c r="F63" s="69">
        <v>0</v>
      </c>
      <c r="G63" s="69">
        <v>0</v>
      </c>
      <c r="H63" s="69">
        <v>15</v>
      </c>
      <c r="I63" s="69">
        <v>56.9</v>
      </c>
      <c r="J63" s="85">
        <v>0.5</v>
      </c>
      <c r="K63" s="69">
        <v>0.4</v>
      </c>
      <c r="L63" s="69">
        <v>0</v>
      </c>
      <c r="M63" s="85">
        <v>0</v>
      </c>
      <c r="N63" s="69">
        <v>0</v>
      </c>
      <c r="O63" s="69">
        <v>0</v>
      </c>
      <c r="P63" s="69">
        <v>0</v>
      </c>
      <c r="Q63" s="69">
        <v>0</v>
      </c>
      <c r="R63" s="70">
        <v>0</v>
      </c>
      <c r="S63" s="69">
        <v>0</v>
      </c>
      <c r="T63" s="69"/>
      <c r="U63" s="96">
        <v>35.159999999999997</v>
      </c>
      <c r="V63" s="84">
        <f>D63*U63/1000</f>
        <v>0.52739999999999998</v>
      </c>
    </row>
    <row r="64" spans="2:22" s="26" customFormat="1" x14ac:dyDescent="0.2">
      <c r="B64" s="69"/>
      <c r="C64" s="65" t="s">
        <v>35</v>
      </c>
      <c r="D64" s="159">
        <v>150</v>
      </c>
      <c r="E64" s="159">
        <v>150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70">
        <v>0</v>
      </c>
      <c r="S64" s="69">
        <v>0</v>
      </c>
      <c r="T64" s="69"/>
      <c r="U64" s="96">
        <v>0</v>
      </c>
      <c r="V64" s="84">
        <f>D64*U64/1000</f>
        <v>0</v>
      </c>
    </row>
    <row r="65" spans="1:23" s="26" customFormat="1" x14ac:dyDescent="0.2">
      <c r="B65" s="69"/>
      <c r="C65" s="39" t="s">
        <v>47</v>
      </c>
      <c r="D65" s="130"/>
      <c r="E65" s="130"/>
      <c r="F65" s="3">
        <f t="shared" ref="F65:S65" si="7">SUM(F62:F64)</f>
        <v>0.1</v>
      </c>
      <c r="G65" s="3">
        <f t="shared" si="7"/>
        <v>0</v>
      </c>
      <c r="H65" s="3">
        <f t="shared" si="7"/>
        <v>15</v>
      </c>
      <c r="I65" s="3">
        <f t="shared" si="7"/>
        <v>57.699999999999996</v>
      </c>
      <c r="J65" s="3">
        <f t="shared" si="7"/>
        <v>12.9</v>
      </c>
      <c r="K65" s="3">
        <f t="shared" si="7"/>
        <v>2.9</v>
      </c>
      <c r="L65" s="3">
        <f t="shared" si="7"/>
        <v>2.2000000000000002</v>
      </c>
      <c r="M65" s="3">
        <f t="shared" si="7"/>
        <v>4.12</v>
      </c>
      <c r="N65" s="3">
        <f t="shared" si="7"/>
        <v>0.4</v>
      </c>
      <c r="O65" s="3">
        <f t="shared" si="7"/>
        <v>0</v>
      </c>
      <c r="P65" s="3">
        <f t="shared" si="7"/>
        <v>0</v>
      </c>
      <c r="Q65" s="3">
        <f t="shared" si="7"/>
        <v>0</v>
      </c>
      <c r="R65" s="50">
        <f t="shared" si="7"/>
        <v>0</v>
      </c>
      <c r="S65" s="3">
        <f t="shared" si="7"/>
        <v>0</v>
      </c>
      <c r="T65" s="3"/>
      <c r="U65" s="32"/>
      <c r="V65" s="21">
        <f>SUM(V62:V64)</f>
        <v>0.93940000000000001</v>
      </c>
    </row>
    <row r="66" spans="1:23" s="26" customFormat="1" ht="25.5" x14ac:dyDescent="0.2">
      <c r="B66" s="69" t="s">
        <v>24</v>
      </c>
      <c r="C66" s="5" t="s">
        <v>105</v>
      </c>
      <c r="D66" s="3">
        <v>30</v>
      </c>
      <c r="E66" s="3">
        <v>30</v>
      </c>
      <c r="F66" s="69">
        <f>7.7*E66/100</f>
        <v>2.31</v>
      </c>
      <c r="G66" s="69">
        <f>3*E66/100</f>
        <v>0.9</v>
      </c>
      <c r="H66" s="69">
        <f>49.8*E66/100</f>
        <v>14.94</v>
      </c>
      <c r="I66" s="69">
        <f>262*E66/100</f>
        <v>78.599999999999994</v>
      </c>
      <c r="J66" s="85">
        <f>127*E66/100</f>
        <v>38.1</v>
      </c>
      <c r="K66" s="69">
        <f>26*E66/100</f>
        <v>7.8</v>
      </c>
      <c r="L66" s="69">
        <f>35*E66/100</f>
        <v>10.5</v>
      </c>
      <c r="M66" s="85">
        <f>83*E66/100</f>
        <v>24.9</v>
      </c>
      <c r="N66" s="69">
        <f>1.6*E66/100</f>
        <v>0.48</v>
      </c>
      <c r="O66" s="69">
        <f>0</f>
        <v>0</v>
      </c>
      <c r="P66" s="69">
        <f>0.16*E66/100</f>
        <v>4.8000000000000001E-2</v>
      </c>
      <c r="Q66" s="69">
        <f>0.08*E66/100</f>
        <v>2.4E-2</v>
      </c>
      <c r="R66" s="69">
        <f>1.54*E66/100</f>
        <v>0.46200000000000002</v>
      </c>
      <c r="S66" s="69">
        <v>0</v>
      </c>
      <c r="T66" s="3"/>
      <c r="U66" s="32">
        <v>29.292000000000002</v>
      </c>
      <c r="V66" s="84">
        <f>E66*U66/1000</f>
        <v>0.87875999999999999</v>
      </c>
    </row>
    <row r="67" spans="1:23" s="67" customFormat="1" x14ac:dyDescent="0.2">
      <c r="A67" s="154"/>
      <c r="B67" s="69" t="s">
        <v>24</v>
      </c>
      <c r="C67" s="5" t="s">
        <v>106</v>
      </c>
      <c r="D67" s="3">
        <v>20</v>
      </c>
      <c r="E67" s="3">
        <v>20</v>
      </c>
      <c r="F67" s="69">
        <f>6.6*E67/100</f>
        <v>1.32</v>
      </c>
      <c r="G67" s="69">
        <f>1.2*E67/100</f>
        <v>0.24</v>
      </c>
      <c r="H67" s="69">
        <f>34.2*E67/100</f>
        <v>6.84</v>
      </c>
      <c r="I67" s="69">
        <f>181*E67/100</f>
        <v>36.200000000000003</v>
      </c>
      <c r="J67" s="69">
        <f>94*E67/100</f>
        <v>18.8</v>
      </c>
      <c r="K67" s="69">
        <f>34*E67/100</f>
        <v>6.8</v>
      </c>
      <c r="L67" s="69">
        <f>41*E67/100</f>
        <v>8.1999999999999993</v>
      </c>
      <c r="M67" s="69">
        <f>120*E67/100</f>
        <v>24</v>
      </c>
      <c r="N67" s="69">
        <f>2.3*E67/100</f>
        <v>0.46</v>
      </c>
      <c r="O67" s="69">
        <v>0</v>
      </c>
      <c r="P67" s="69">
        <f>0.11*E67/100</f>
        <v>2.2000000000000002E-2</v>
      </c>
      <c r="Q67" s="69">
        <f>0.08*E67/100</f>
        <v>1.6E-2</v>
      </c>
      <c r="R67" s="69">
        <f>0.64*E67/100</f>
        <v>0.128</v>
      </c>
      <c r="S67" s="69">
        <v>0</v>
      </c>
      <c r="T67" s="3"/>
      <c r="U67" s="32">
        <v>35.9</v>
      </c>
      <c r="V67" s="84">
        <f>E67*U67/1000</f>
        <v>0.71799999999999997</v>
      </c>
      <c r="W67" s="154"/>
    </row>
    <row r="68" spans="1:23" x14ac:dyDescent="0.2">
      <c r="B68" s="169"/>
      <c r="C68" s="42" t="s">
        <v>25</v>
      </c>
      <c r="D68" s="3"/>
      <c r="E68" s="21"/>
      <c r="F68" s="21">
        <v>29.312000000000001</v>
      </c>
      <c r="G68" s="21">
        <v>38.728999999999999</v>
      </c>
      <c r="H68" s="21">
        <v>109.12</v>
      </c>
      <c r="I68" s="21">
        <v>820.34</v>
      </c>
      <c r="J68" s="21">
        <v>736.51900000000001</v>
      </c>
      <c r="K68" s="21">
        <v>118.506</v>
      </c>
      <c r="L68" s="21">
        <v>138.61000000000001</v>
      </c>
      <c r="M68" s="21">
        <v>249.54</v>
      </c>
      <c r="N68" s="21">
        <v>15.58</v>
      </c>
      <c r="O68" s="21">
        <v>6.03</v>
      </c>
      <c r="P68" s="21">
        <v>6.6619999999999999</v>
      </c>
      <c r="Q68" s="21">
        <v>6.4269999999999996</v>
      </c>
      <c r="R68" s="21">
        <v>12.74</v>
      </c>
      <c r="S68" s="21">
        <v>27</v>
      </c>
      <c r="T68" s="147"/>
      <c r="U68" s="52"/>
      <c r="V68" s="170">
        <v>30.16</v>
      </c>
    </row>
    <row r="69" spans="1:23" x14ac:dyDescent="0.2">
      <c r="B69" s="69"/>
      <c r="C69" s="130" t="s">
        <v>50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70"/>
      <c r="S69" s="69"/>
      <c r="T69" s="69"/>
      <c r="U69" s="96"/>
      <c r="V69" s="84"/>
    </row>
    <row r="70" spans="1:23" x14ac:dyDescent="0.2">
      <c r="B70" s="69"/>
      <c r="C70" s="5" t="s">
        <v>1</v>
      </c>
      <c r="D70" s="159"/>
      <c r="E70" s="6"/>
      <c r="F70" s="4"/>
      <c r="G70" s="4"/>
      <c r="H70" s="4"/>
      <c r="I70" s="4"/>
      <c r="J70" s="10"/>
      <c r="K70" s="4"/>
      <c r="L70" s="4"/>
      <c r="M70" s="11"/>
      <c r="N70" s="4"/>
      <c r="O70" s="4"/>
      <c r="P70" s="4"/>
      <c r="Q70" s="4"/>
      <c r="R70" s="51"/>
      <c r="S70" s="4"/>
      <c r="T70" s="69"/>
      <c r="U70" s="96"/>
      <c r="V70" s="84"/>
    </row>
    <row r="71" spans="1:23" ht="25.5" x14ac:dyDescent="0.2">
      <c r="B71" s="69" t="s">
        <v>101</v>
      </c>
      <c r="C71" s="5" t="s">
        <v>102</v>
      </c>
      <c r="D71" s="69"/>
      <c r="E71" s="3">
        <v>200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70"/>
      <c r="U71" s="96"/>
      <c r="V71" s="69"/>
    </row>
    <row r="72" spans="1:23" x14ac:dyDescent="0.2">
      <c r="B72" s="69"/>
      <c r="C72" s="65" t="s">
        <v>31</v>
      </c>
      <c r="D72" s="69">
        <v>80</v>
      </c>
      <c r="E72" s="69">
        <v>60</v>
      </c>
      <c r="F72" s="69">
        <f>2*E72/100</f>
        <v>1.2</v>
      </c>
      <c r="G72" s="69">
        <f>0.4*E72/100</f>
        <v>0.24</v>
      </c>
      <c r="H72" s="69">
        <f>16.3*E72/100</f>
        <v>9.7799999999999994</v>
      </c>
      <c r="I72" s="69">
        <f>77*E72/100</f>
        <v>46.2</v>
      </c>
      <c r="J72" s="69">
        <f>568*E72/100</f>
        <v>340.8</v>
      </c>
      <c r="K72" s="69">
        <f>10*E72/100</f>
        <v>6</v>
      </c>
      <c r="L72" s="69">
        <f>23*E72/100</f>
        <v>13.8</v>
      </c>
      <c r="M72" s="69">
        <f>58*E72/100</f>
        <v>34.799999999999997</v>
      </c>
      <c r="N72" s="69">
        <f>0.9*E72/100</f>
        <v>0.54</v>
      </c>
      <c r="O72" s="69">
        <v>0</v>
      </c>
      <c r="P72" s="69">
        <f>0.12*E72/100</f>
        <v>7.1999999999999995E-2</v>
      </c>
      <c r="Q72" s="69">
        <f>0.07*E72/100</f>
        <v>4.2000000000000003E-2</v>
      </c>
      <c r="R72" s="69">
        <f>1.3*E72/100</f>
        <v>0.78</v>
      </c>
      <c r="S72" s="69">
        <f>20*E72/100</f>
        <v>12</v>
      </c>
      <c r="T72" s="70"/>
      <c r="U72" s="96">
        <v>35.76</v>
      </c>
      <c r="V72" s="69">
        <f>D72*U72/1000</f>
        <v>2.8607999999999998</v>
      </c>
    </row>
    <row r="73" spans="1:23" ht="25.5" x14ac:dyDescent="0.2">
      <c r="B73" s="69"/>
      <c r="C73" s="65" t="s">
        <v>103</v>
      </c>
      <c r="D73" s="69">
        <v>8</v>
      </c>
      <c r="E73" s="69">
        <v>8</v>
      </c>
      <c r="F73" s="66">
        <f>10.4*E73/100</f>
        <v>0.83200000000000007</v>
      </c>
      <c r="G73" s="66">
        <f>1.1*E73/100</f>
        <v>8.8000000000000009E-2</v>
      </c>
      <c r="H73" s="66">
        <f>69.7*E73/100</f>
        <v>5.5760000000000005</v>
      </c>
      <c r="I73" s="66">
        <f>337*E73/100</f>
        <v>26.96</v>
      </c>
      <c r="J73" s="66">
        <f>124*E73/100</f>
        <v>9.92</v>
      </c>
      <c r="K73" s="66">
        <f>18*E73/100</f>
        <v>1.44</v>
      </c>
      <c r="L73" s="66">
        <f>16*E73/100</f>
        <v>1.28</v>
      </c>
      <c r="M73" s="66">
        <f>1.2*E73/100</f>
        <v>9.6000000000000002E-2</v>
      </c>
      <c r="N73" s="66">
        <f>1.2*E73/100</f>
        <v>9.6000000000000002E-2</v>
      </c>
      <c r="O73" s="66">
        <v>0</v>
      </c>
      <c r="P73" s="66">
        <f>0.17*E73/100</f>
        <v>1.3600000000000001E-2</v>
      </c>
      <c r="Q73" s="66">
        <f>0.08*E73/100</f>
        <v>6.4000000000000003E-3</v>
      </c>
      <c r="R73" s="66">
        <f>1.21*E73/100</f>
        <v>9.6799999999999997E-2</v>
      </c>
      <c r="S73" s="66">
        <v>0</v>
      </c>
      <c r="T73" s="70"/>
      <c r="U73" s="96">
        <v>39.74</v>
      </c>
      <c r="V73" s="69">
        <f t="shared" ref="V73:V78" si="8">D73*U73/1000</f>
        <v>0.31792000000000004</v>
      </c>
    </row>
    <row r="74" spans="1:23" x14ac:dyDescent="0.2">
      <c r="B74" s="69"/>
      <c r="C74" s="65" t="s">
        <v>33</v>
      </c>
      <c r="D74" s="69">
        <v>12</v>
      </c>
      <c r="E74" s="69">
        <v>9.6</v>
      </c>
      <c r="F74" s="69">
        <f>1.3*E74/100</f>
        <v>0.12480000000000001</v>
      </c>
      <c r="G74" s="69">
        <f>0.1*E74/100</f>
        <v>9.5999999999999992E-3</v>
      </c>
      <c r="H74" s="69">
        <f>6.9*E74/100</f>
        <v>0.66239999999999999</v>
      </c>
      <c r="I74" s="69">
        <f>35*E74/100</f>
        <v>3.36</v>
      </c>
      <c r="J74" s="69">
        <f>200*E74/100</f>
        <v>19.2</v>
      </c>
      <c r="K74" s="69">
        <f>27*E74/100</f>
        <v>2.5920000000000001</v>
      </c>
      <c r="L74" s="69">
        <f>38*E74/100</f>
        <v>3.6480000000000001</v>
      </c>
      <c r="M74" s="69">
        <f>55*E74/100</f>
        <v>5.28</v>
      </c>
      <c r="N74" s="69">
        <f>0.7*E74/100</f>
        <v>6.7199999999999996E-2</v>
      </c>
      <c r="O74" s="69">
        <v>0</v>
      </c>
      <c r="P74" s="69">
        <f>0.06*E74/100</f>
        <v>5.7599999999999995E-3</v>
      </c>
      <c r="Q74" s="69">
        <f>0.07*E74/100</f>
        <v>6.7200000000000003E-3</v>
      </c>
      <c r="R74" s="69">
        <f>1*E74/100</f>
        <v>9.6000000000000002E-2</v>
      </c>
      <c r="S74" s="69">
        <f>5*E74/100</f>
        <v>0.48</v>
      </c>
      <c r="T74" s="70"/>
      <c r="U74" s="96">
        <v>34.229999999999997</v>
      </c>
      <c r="V74" s="69">
        <f t="shared" si="8"/>
        <v>0.41076000000000001</v>
      </c>
    </row>
    <row r="75" spans="1:23" x14ac:dyDescent="0.2">
      <c r="B75" s="69"/>
      <c r="C75" s="65" t="s">
        <v>32</v>
      </c>
      <c r="D75" s="69">
        <v>10</v>
      </c>
      <c r="E75" s="69">
        <v>8</v>
      </c>
      <c r="F75" s="69">
        <f>1.3*E75/100</f>
        <v>0.10400000000000001</v>
      </c>
      <c r="G75" s="69">
        <f>0.1*E75/100</f>
        <v>8.0000000000000002E-3</v>
      </c>
      <c r="H75" s="69">
        <f>6.9*E75/100</f>
        <v>0.55200000000000005</v>
      </c>
      <c r="I75" s="69">
        <f>35*E75/100</f>
        <v>2.8</v>
      </c>
      <c r="J75" s="69">
        <f>200*E75/100</f>
        <v>16</v>
      </c>
      <c r="K75" s="69">
        <f>27*E75/100</f>
        <v>2.16</v>
      </c>
      <c r="L75" s="69">
        <f>38*E75/100</f>
        <v>3.04</v>
      </c>
      <c r="M75" s="69">
        <f>55*E75/100</f>
        <v>4.4000000000000004</v>
      </c>
      <c r="N75" s="69">
        <f>0.7*E75/100</f>
        <v>5.5999999999999994E-2</v>
      </c>
      <c r="O75" s="69">
        <v>0</v>
      </c>
      <c r="P75" s="69">
        <f>0.06*E75/100</f>
        <v>4.7999999999999996E-3</v>
      </c>
      <c r="Q75" s="69">
        <f>0.07*E75/100</f>
        <v>5.6000000000000008E-3</v>
      </c>
      <c r="R75" s="69">
        <f>1*E75/100</f>
        <v>0.08</v>
      </c>
      <c r="S75" s="69">
        <f>5*E75/100</f>
        <v>0.4</v>
      </c>
      <c r="T75" s="70"/>
      <c r="U75" s="96">
        <v>34.6</v>
      </c>
      <c r="V75" s="69">
        <f t="shared" si="8"/>
        <v>0.34599999999999997</v>
      </c>
    </row>
    <row r="76" spans="1:23" ht="25.5" x14ac:dyDescent="0.2">
      <c r="B76" s="69"/>
      <c r="C76" s="65" t="s">
        <v>34</v>
      </c>
      <c r="D76" s="69">
        <v>2</v>
      </c>
      <c r="E76" s="69">
        <v>2</v>
      </c>
      <c r="F76" s="69">
        <v>0</v>
      </c>
      <c r="G76" s="69">
        <f>99.9*E76/100</f>
        <v>1.9980000000000002</v>
      </c>
      <c r="H76" s="69">
        <f>0</f>
        <v>0</v>
      </c>
      <c r="I76" s="69">
        <f>899*E76/100</f>
        <v>17.98</v>
      </c>
      <c r="J76" s="86">
        <v>0</v>
      </c>
      <c r="K76" s="69">
        <v>0</v>
      </c>
      <c r="L76" s="69">
        <v>0</v>
      </c>
      <c r="M76" s="87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70"/>
      <c r="U76" s="96">
        <v>70.400000000000006</v>
      </c>
      <c r="V76" s="69">
        <f t="shared" si="8"/>
        <v>0.14080000000000001</v>
      </c>
    </row>
    <row r="77" spans="1:23" x14ac:dyDescent="0.2">
      <c r="B77" s="69"/>
      <c r="C77" s="65" t="s">
        <v>46</v>
      </c>
      <c r="D77" s="69">
        <v>1.6</v>
      </c>
      <c r="E77" s="69">
        <v>1.6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70"/>
      <c r="U77" s="96">
        <v>11.13</v>
      </c>
      <c r="V77" s="69">
        <f t="shared" si="8"/>
        <v>1.7808000000000004E-2</v>
      </c>
    </row>
    <row r="78" spans="1:23" x14ac:dyDescent="0.2">
      <c r="B78" s="69"/>
      <c r="C78" s="65" t="s">
        <v>35</v>
      </c>
      <c r="D78" s="69">
        <v>140</v>
      </c>
      <c r="E78" s="69">
        <v>140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70"/>
      <c r="U78" s="96">
        <v>0</v>
      </c>
      <c r="V78" s="69">
        <f t="shared" si="8"/>
        <v>0</v>
      </c>
    </row>
    <row r="79" spans="1:23" x14ac:dyDescent="0.2">
      <c r="B79" s="69"/>
      <c r="C79" s="3" t="s">
        <v>77</v>
      </c>
      <c r="D79" s="3"/>
      <c r="E79" s="3"/>
      <c r="F79" s="3">
        <f>SUM(F72:F78)</f>
        <v>2.2608000000000001</v>
      </c>
      <c r="G79" s="3">
        <f t="shared" ref="G79:T79" si="9">SUM(G72:G78)</f>
        <v>2.3436000000000003</v>
      </c>
      <c r="H79" s="3">
        <f t="shared" si="9"/>
        <v>16.570399999999999</v>
      </c>
      <c r="I79" s="3">
        <f t="shared" si="9"/>
        <v>97.3</v>
      </c>
      <c r="J79" s="3">
        <f t="shared" si="9"/>
        <v>385.92</v>
      </c>
      <c r="K79" s="3">
        <f t="shared" si="9"/>
        <v>12.192</v>
      </c>
      <c r="L79" s="3">
        <f t="shared" si="9"/>
        <v>21.768000000000001</v>
      </c>
      <c r="M79" s="3">
        <f t="shared" si="9"/>
        <v>44.575999999999993</v>
      </c>
      <c r="N79" s="3">
        <f t="shared" si="9"/>
        <v>0.7592000000000001</v>
      </c>
      <c r="O79" s="3">
        <f t="shared" si="9"/>
        <v>0</v>
      </c>
      <c r="P79" s="3">
        <f t="shared" si="9"/>
        <v>9.6159999999999995E-2</v>
      </c>
      <c r="Q79" s="3">
        <f t="shared" si="9"/>
        <v>6.0720000000000003E-2</v>
      </c>
      <c r="R79" s="3">
        <f t="shared" si="9"/>
        <v>1.0528</v>
      </c>
      <c r="S79" s="3">
        <f t="shared" si="9"/>
        <v>12.88</v>
      </c>
      <c r="T79" s="50">
        <f t="shared" si="9"/>
        <v>0</v>
      </c>
      <c r="U79" s="32"/>
      <c r="V79" s="69">
        <f>SUM(V72:V78)</f>
        <v>4.0940879999999993</v>
      </c>
    </row>
    <row r="80" spans="1:23" ht="25.5" x14ac:dyDescent="0.2">
      <c r="B80" s="123" t="s">
        <v>130</v>
      </c>
      <c r="C80" s="5" t="s">
        <v>131</v>
      </c>
      <c r="D80" s="3"/>
      <c r="E80" s="3" t="s">
        <v>132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50"/>
      <c r="S80" s="3"/>
      <c r="T80" s="3"/>
      <c r="U80" s="32"/>
      <c r="V80" s="84"/>
    </row>
    <row r="81" spans="2:22" x14ac:dyDescent="0.2">
      <c r="B81" s="123"/>
      <c r="C81" s="69" t="s">
        <v>133</v>
      </c>
      <c r="D81" s="3">
        <v>196.8</v>
      </c>
      <c r="E81" s="3">
        <v>99.2</v>
      </c>
      <c r="F81" s="3">
        <v>19</v>
      </c>
      <c r="G81" s="3">
        <v>1.7712000000000001</v>
      </c>
      <c r="H81" s="3">
        <v>0</v>
      </c>
      <c r="I81" s="3">
        <v>141.696</v>
      </c>
      <c r="J81" s="3">
        <v>826.6</v>
      </c>
      <c r="K81" s="3">
        <v>78.7</v>
      </c>
      <c r="L81" s="3">
        <v>108.24</v>
      </c>
      <c r="M81" s="7">
        <v>472.3</v>
      </c>
      <c r="N81" s="3">
        <v>1.5744</v>
      </c>
      <c r="O81" s="3">
        <v>1.968E-2</v>
      </c>
      <c r="P81" s="3">
        <v>0.21648000000000001</v>
      </c>
      <c r="Q81" s="3">
        <v>0.21648000000000001</v>
      </c>
      <c r="R81" s="3">
        <v>2.5583999999999998</v>
      </c>
      <c r="S81" s="3">
        <v>0.98399999999999999</v>
      </c>
      <c r="T81" s="3">
        <v>87.81</v>
      </c>
      <c r="U81" s="32">
        <v>13.081008000000001</v>
      </c>
      <c r="V81" s="84"/>
    </row>
    <row r="82" spans="2:22" x14ac:dyDescent="0.2">
      <c r="B82" s="123"/>
      <c r="C82" s="184" t="s">
        <v>35</v>
      </c>
      <c r="D82" s="89">
        <v>30.4</v>
      </c>
      <c r="E82" s="89">
        <v>30.4</v>
      </c>
      <c r="F82" s="82">
        <v>0</v>
      </c>
      <c r="G82" s="82">
        <v>0</v>
      </c>
      <c r="H82" s="91">
        <v>0</v>
      </c>
      <c r="I82" s="82">
        <v>0</v>
      </c>
      <c r="J82" s="83">
        <v>0</v>
      </c>
      <c r="K82" s="83">
        <v>0</v>
      </c>
      <c r="L82" s="82">
        <v>0</v>
      </c>
      <c r="M82" s="83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69">
        <v>0</v>
      </c>
      <c r="U82" s="96">
        <v>0</v>
      </c>
      <c r="V82" s="84"/>
    </row>
    <row r="83" spans="2:22" x14ac:dyDescent="0.2">
      <c r="B83" s="123"/>
      <c r="C83" s="88" t="s">
        <v>32</v>
      </c>
      <c r="D83" s="89">
        <v>43.2</v>
      </c>
      <c r="E83" s="89">
        <v>33.6</v>
      </c>
      <c r="F83" s="69">
        <v>0.4</v>
      </c>
      <c r="G83" s="69">
        <v>0</v>
      </c>
      <c r="H83" s="69">
        <v>2.2999999999999998</v>
      </c>
      <c r="I83" s="69">
        <v>11.8</v>
      </c>
      <c r="J83" s="85">
        <v>63</v>
      </c>
      <c r="K83" s="69">
        <v>16</v>
      </c>
      <c r="L83" s="69">
        <v>12</v>
      </c>
      <c r="M83" s="85">
        <v>17.3</v>
      </c>
      <c r="N83" s="69">
        <v>0.4</v>
      </c>
      <c r="O83" s="69">
        <v>2.8</v>
      </c>
      <c r="P83" s="69">
        <v>0.02</v>
      </c>
      <c r="Q83" s="69">
        <v>0.02</v>
      </c>
      <c r="R83" s="69">
        <v>0.3</v>
      </c>
      <c r="S83" s="69">
        <v>1.6</v>
      </c>
      <c r="T83" s="69">
        <v>34.6</v>
      </c>
      <c r="U83" s="96">
        <v>1.49472</v>
      </c>
      <c r="V83" s="84"/>
    </row>
    <row r="84" spans="2:22" x14ac:dyDescent="0.2">
      <c r="B84" s="123"/>
      <c r="C84" s="88" t="s">
        <v>33</v>
      </c>
      <c r="D84" s="89">
        <v>19.2</v>
      </c>
      <c r="E84" s="89">
        <v>14.4</v>
      </c>
      <c r="F84" s="69">
        <v>0.2</v>
      </c>
      <c r="G84" s="69">
        <v>0</v>
      </c>
      <c r="H84" s="69">
        <v>1.2</v>
      </c>
      <c r="I84" s="69">
        <v>5.9</v>
      </c>
      <c r="J84" s="69">
        <v>23.6</v>
      </c>
      <c r="K84" s="69">
        <v>4.2</v>
      </c>
      <c r="L84" s="69">
        <v>1.9</v>
      </c>
      <c r="M84" s="69">
        <v>7.8</v>
      </c>
      <c r="N84" s="69">
        <v>0.1</v>
      </c>
      <c r="O84" s="69">
        <v>0</v>
      </c>
      <c r="P84" s="69">
        <v>0</v>
      </c>
      <c r="Q84" s="69">
        <v>0</v>
      </c>
      <c r="R84" s="69">
        <v>0.03</v>
      </c>
      <c r="S84" s="69">
        <v>1.35</v>
      </c>
      <c r="T84" s="69">
        <v>34.229999999999997</v>
      </c>
      <c r="U84" s="96">
        <v>0.65721600000000002</v>
      </c>
      <c r="V84" s="84"/>
    </row>
    <row r="85" spans="2:22" x14ac:dyDescent="0.2">
      <c r="B85" s="123"/>
      <c r="C85" s="88" t="s">
        <v>36</v>
      </c>
      <c r="D85" s="89">
        <v>6.4</v>
      </c>
      <c r="E85" s="89">
        <v>6.4</v>
      </c>
      <c r="F85" s="69">
        <v>0.3</v>
      </c>
      <c r="G85" s="69">
        <v>0</v>
      </c>
      <c r="H85" s="69">
        <v>1.2</v>
      </c>
      <c r="I85" s="69">
        <v>6.5</v>
      </c>
      <c r="J85" s="69">
        <v>52.7</v>
      </c>
      <c r="K85" s="69">
        <v>4.7</v>
      </c>
      <c r="L85" s="69">
        <v>1.8</v>
      </c>
      <c r="M85" s="69">
        <v>4</v>
      </c>
      <c r="N85" s="69">
        <v>0.14000000000000001</v>
      </c>
      <c r="O85" s="69">
        <v>0.12</v>
      </c>
      <c r="P85" s="69">
        <v>0</v>
      </c>
      <c r="Q85" s="69">
        <v>0</v>
      </c>
      <c r="R85" s="69">
        <v>0.05</v>
      </c>
      <c r="S85" s="69">
        <v>2.7</v>
      </c>
      <c r="T85" s="69">
        <v>176.53</v>
      </c>
      <c r="U85" s="96">
        <v>1.1297919999999999</v>
      </c>
      <c r="V85" s="84"/>
    </row>
    <row r="86" spans="2:22" ht="25.5" x14ac:dyDescent="0.2">
      <c r="B86" s="123"/>
      <c r="C86" s="185" t="s">
        <v>34</v>
      </c>
      <c r="D86" s="89">
        <v>8</v>
      </c>
      <c r="E86" s="89">
        <v>8</v>
      </c>
      <c r="F86" s="69">
        <v>0</v>
      </c>
      <c r="G86" s="69">
        <v>8</v>
      </c>
      <c r="H86" s="69">
        <v>0</v>
      </c>
      <c r="I86" s="69">
        <v>72</v>
      </c>
      <c r="J86" s="86">
        <v>0</v>
      </c>
      <c r="K86" s="69">
        <v>0</v>
      </c>
      <c r="L86" s="69">
        <v>0</v>
      </c>
      <c r="M86" s="85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70.400000000000006</v>
      </c>
      <c r="U86" s="96">
        <v>0.56320000000000003</v>
      </c>
      <c r="V86" s="84"/>
    </row>
    <row r="87" spans="2:22" x14ac:dyDescent="0.2">
      <c r="B87" s="123"/>
      <c r="C87" s="186" t="s">
        <v>30</v>
      </c>
      <c r="D87" s="89">
        <v>3.2</v>
      </c>
      <c r="E87" s="89">
        <v>3.2</v>
      </c>
      <c r="F87" s="69">
        <v>0</v>
      </c>
      <c r="G87" s="69">
        <v>0</v>
      </c>
      <c r="H87" s="69">
        <v>3.1</v>
      </c>
      <c r="I87" s="69">
        <v>12.1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35.159999999999997</v>
      </c>
      <c r="U87" s="96">
        <v>0.112512</v>
      </c>
      <c r="V87" s="84"/>
    </row>
    <row r="88" spans="2:22" x14ac:dyDescent="0.2">
      <c r="B88" s="123"/>
      <c r="C88" s="185" t="s">
        <v>46</v>
      </c>
      <c r="D88" s="89">
        <v>2</v>
      </c>
      <c r="E88" s="89">
        <v>2</v>
      </c>
      <c r="F88" s="69">
        <v>0</v>
      </c>
      <c r="G88" s="69">
        <v>0</v>
      </c>
      <c r="H88" s="69">
        <v>0</v>
      </c>
      <c r="I88" s="69">
        <v>0</v>
      </c>
      <c r="J88" s="86">
        <v>0</v>
      </c>
      <c r="K88" s="69">
        <v>0</v>
      </c>
      <c r="L88" s="69">
        <v>0</v>
      </c>
      <c r="M88" s="87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11.13</v>
      </c>
      <c r="U88" s="96">
        <v>2.2259999999999999E-2</v>
      </c>
      <c r="V88" s="84"/>
    </row>
    <row r="89" spans="2:22" x14ac:dyDescent="0.2">
      <c r="B89" s="123"/>
      <c r="C89" s="185" t="s">
        <v>39</v>
      </c>
      <c r="D89" s="187">
        <v>0.01</v>
      </c>
      <c r="E89" s="187">
        <v>0.01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69">
        <v>300</v>
      </c>
      <c r="U89" s="96">
        <v>3.0000000000000001E-3</v>
      </c>
      <c r="V89" s="84"/>
    </row>
    <row r="90" spans="2:22" x14ac:dyDescent="0.2">
      <c r="B90" s="123"/>
      <c r="C90" s="6" t="s">
        <v>47</v>
      </c>
      <c r="D90" s="14"/>
      <c r="E90" s="3"/>
      <c r="F90" s="3">
        <v>19.899999999999999</v>
      </c>
      <c r="G90" s="3">
        <v>14.7712</v>
      </c>
      <c r="H90" s="3">
        <v>7.8</v>
      </c>
      <c r="I90" s="3">
        <v>249.99600000000001</v>
      </c>
      <c r="J90" s="3">
        <v>965.86</v>
      </c>
      <c r="K90" s="32">
        <v>103.62</v>
      </c>
      <c r="L90" s="7">
        <v>123.94</v>
      </c>
      <c r="M90" s="7">
        <v>501.42</v>
      </c>
      <c r="N90" s="3">
        <v>2.2143999999999999</v>
      </c>
      <c r="O90" s="3">
        <v>2.9396800000000001</v>
      </c>
      <c r="P90" s="3">
        <v>0.23648</v>
      </c>
      <c r="Q90" s="3">
        <v>0.23648</v>
      </c>
      <c r="R90" s="3">
        <v>2.9384000000000001</v>
      </c>
      <c r="S90" s="32">
        <v>6.6340000000000003</v>
      </c>
      <c r="U90" s="93">
        <v>17.063707999999998</v>
      </c>
      <c r="V90" s="84"/>
    </row>
    <row r="91" spans="2:22" x14ac:dyDescent="0.2">
      <c r="B91" s="123" t="s">
        <v>57</v>
      </c>
      <c r="C91" s="6" t="s">
        <v>58</v>
      </c>
      <c r="D91" s="20"/>
      <c r="E91" s="20">
        <v>150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V91" s="84"/>
    </row>
    <row r="92" spans="2:22" x14ac:dyDescent="0.2">
      <c r="B92" s="123"/>
      <c r="C92" s="188" t="s">
        <v>31</v>
      </c>
      <c r="D92" s="20">
        <v>170.8</v>
      </c>
      <c r="E92" s="20">
        <v>128.30000000000001</v>
      </c>
      <c r="F92" s="14">
        <v>2.5659999999999998</v>
      </c>
      <c r="G92" s="14">
        <v>0.51319999999999999</v>
      </c>
      <c r="H92" s="14">
        <v>20.9129</v>
      </c>
      <c r="I92" s="14">
        <v>98.790999999999997</v>
      </c>
      <c r="J92" s="15">
        <v>728.74400000000003</v>
      </c>
      <c r="K92" s="14">
        <v>12.83</v>
      </c>
      <c r="L92" s="14">
        <v>29.509</v>
      </c>
      <c r="M92" s="16">
        <v>74.414000000000001</v>
      </c>
      <c r="N92" s="14">
        <v>1.1547000000000001</v>
      </c>
      <c r="O92" s="14">
        <v>0</v>
      </c>
      <c r="P92" s="14">
        <v>0.15396000000000001</v>
      </c>
      <c r="Q92" s="14">
        <v>8.9810000000000001E-2</v>
      </c>
      <c r="R92" s="14">
        <v>1.6678999999999999</v>
      </c>
      <c r="S92" s="14">
        <v>25.66</v>
      </c>
      <c r="T92" s="22">
        <v>35.76</v>
      </c>
      <c r="U92" s="93">
        <v>6.1078080000000003</v>
      </c>
      <c r="V92" s="84"/>
    </row>
    <row r="93" spans="2:22" x14ac:dyDescent="0.2">
      <c r="B93" s="123"/>
      <c r="C93" s="188" t="s">
        <v>37</v>
      </c>
      <c r="D93" s="20">
        <v>5</v>
      </c>
      <c r="E93" s="20">
        <v>5</v>
      </c>
      <c r="F93" s="34">
        <v>0.04</v>
      </c>
      <c r="G93" s="34">
        <v>3.625</v>
      </c>
      <c r="H93" s="34">
        <v>6.5000000000000002E-2</v>
      </c>
      <c r="I93" s="34">
        <v>33.049999999999997</v>
      </c>
      <c r="J93" s="34">
        <v>1</v>
      </c>
      <c r="K93" s="34">
        <v>1.1000000000000001</v>
      </c>
      <c r="L93" s="34">
        <v>0.15</v>
      </c>
      <c r="M93" s="34">
        <v>1</v>
      </c>
      <c r="N93" s="34">
        <v>0.01</v>
      </c>
      <c r="O93" s="34">
        <v>2.5000000000000001E-2</v>
      </c>
      <c r="P93" s="34">
        <v>0</v>
      </c>
      <c r="Q93" s="34">
        <v>0</v>
      </c>
      <c r="R93" s="34">
        <v>5.0000000000000001E-3</v>
      </c>
      <c r="S93" s="34">
        <v>0</v>
      </c>
      <c r="T93" s="22">
        <v>300.63</v>
      </c>
      <c r="U93" s="93">
        <v>1.50315</v>
      </c>
      <c r="V93" s="69"/>
    </row>
    <row r="94" spans="2:22" x14ac:dyDescent="0.2">
      <c r="B94" s="123"/>
      <c r="C94" s="188" t="s">
        <v>29</v>
      </c>
      <c r="D94" s="20">
        <v>23.6</v>
      </c>
      <c r="E94" s="20">
        <v>22.5</v>
      </c>
      <c r="F94" s="14">
        <v>0.66080000000000005</v>
      </c>
      <c r="G94" s="14">
        <v>0.75519999999999998</v>
      </c>
      <c r="H94" s="14">
        <v>1.1092</v>
      </c>
      <c r="I94" s="14">
        <v>1.3688</v>
      </c>
      <c r="J94" s="14">
        <v>34.456000000000003</v>
      </c>
      <c r="K94" s="14">
        <v>28.32</v>
      </c>
      <c r="L94" s="14">
        <v>26.904</v>
      </c>
      <c r="M94" s="14">
        <v>2.3599999999999999E-2</v>
      </c>
      <c r="N94" s="14">
        <v>2.3599999999999999E-2</v>
      </c>
      <c r="O94" s="14">
        <v>4.7200000000000002E-3</v>
      </c>
      <c r="P94" s="14">
        <v>9.4400000000000005E-3</v>
      </c>
      <c r="Q94" s="14">
        <v>3.5400000000000001E-2</v>
      </c>
      <c r="R94" s="14">
        <v>2.3599999999999999E-2</v>
      </c>
      <c r="S94" s="14">
        <v>0.30680000000000002</v>
      </c>
      <c r="T94" s="22">
        <v>36.83</v>
      </c>
      <c r="U94" s="93">
        <v>0.86918799999999996</v>
      </c>
      <c r="V94" s="84"/>
    </row>
    <row r="95" spans="2:22" x14ac:dyDescent="0.2">
      <c r="B95" s="123"/>
      <c r="C95" s="65" t="s">
        <v>46</v>
      </c>
      <c r="D95" s="3">
        <v>1.8</v>
      </c>
      <c r="E95" s="3">
        <v>1.8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22">
        <v>11.13</v>
      </c>
      <c r="U95" s="93">
        <v>2.0034E-2</v>
      </c>
      <c r="V95" s="21"/>
    </row>
    <row r="96" spans="2:22" x14ac:dyDescent="0.2">
      <c r="B96" s="123"/>
      <c r="C96" s="5" t="s">
        <v>47</v>
      </c>
      <c r="D96" s="3"/>
      <c r="E96" s="3"/>
      <c r="F96" s="3">
        <v>3.2667999999999999</v>
      </c>
      <c r="G96" s="14">
        <v>9.8933999999999997</v>
      </c>
      <c r="H96" s="14">
        <v>22.0871</v>
      </c>
      <c r="I96" s="14">
        <v>133.2098</v>
      </c>
      <c r="J96" s="14">
        <v>764.35</v>
      </c>
      <c r="K96" s="14">
        <v>42.25</v>
      </c>
      <c r="L96" s="14">
        <v>56.563000000000002</v>
      </c>
      <c r="M96" s="14">
        <v>75.387600000000006</v>
      </c>
      <c r="N96" s="14">
        <v>1.1882999999999999</v>
      </c>
      <c r="O96" s="14">
        <v>2.972E-2</v>
      </c>
      <c r="P96" s="14">
        <v>0.16339999999999999</v>
      </c>
      <c r="Q96" s="14">
        <v>0.12526000000000001</v>
      </c>
      <c r="R96" s="14">
        <v>1.6964999999999999</v>
      </c>
      <c r="S96" s="14">
        <v>25.966799999999999</v>
      </c>
      <c r="U96" s="93">
        <v>8.5001800000000003</v>
      </c>
      <c r="V96" s="84"/>
    </row>
    <row r="97" spans="2:22" x14ac:dyDescent="0.2">
      <c r="B97" s="123" t="s">
        <v>134</v>
      </c>
      <c r="C97" s="5" t="s">
        <v>135</v>
      </c>
      <c r="D97" s="14"/>
      <c r="E97" s="14">
        <v>200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V97" s="52"/>
    </row>
    <row r="98" spans="2:22" x14ac:dyDescent="0.2">
      <c r="B98" s="123"/>
      <c r="C98" s="17" t="s">
        <v>136</v>
      </c>
      <c r="D98" s="14">
        <v>20</v>
      </c>
      <c r="E98" s="14">
        <v>50</v>
      </c>
      <c r="F98" s="14">
        <v>0</v>
      </c>
      <c r="G98" s="14">
        <v>0</v>
      </c>
      <c r="H98" s="14">
        <v>0</v>
      </c>
      <c r="I98" s="14">
        <v>28.2</v>
      </c>
      <c r="J98" s="14">
        <v>0</v>
      </c>
      <c r="K98" s="14">
        <v>0.2</v>
      </c>
      <c r="L98" s="14">
        <v>0</v>
      </c>
      <c r="M98" s="14">
        <v>0</v>
      </c>
      <c r="N98" s="14">
        <v>0.03</v>
      </c>
      <c r="O98" s="14">
        <v>0</v>
      </c>
      <c r="P98" s="14">
        <v>0</v>
      </c>
      <c r="Q98" s="14">
        <v>0</v>
      </c>
      <c r="R98" s="14">
        <v>0</v>
      </c>
      <c r="S98" s="14">
        <v>0.04</v>
      </c>
      <c r="T98" s="22">
        <v>60</v>
      </c>
      <c r="U98" s="93">
        <v>1.2</v>
      </c>
      <c r="V98" s="52"/>
    </row>
    <row r="99" spans="2:22" x14ac:dyDescent="0.2">
      <c r="B99" s="123"/>
      <c r="C99" s="17" t="s">
        <v>30</v>
      </c>
      <c r="D99" s="14">
        <v>20</v>
      </c>
      <c r="E99" s="14">
        <v>20</v>
      </c>
      <c r="F99" s="14">
        <v>0</v>
      </c>
      <c r="G99" s="14">
        <v>0</v>
      </c>
      <c r="H99" s="14">
        <v>19.98</v>
      </c>
      <c r="I99" s="14">
        <v>75.8</v>
      </c>
      <c r="J99" s="14">
        <v>0.6</v>
      </c>
      <c r="K99" s="14">
        <v>0.2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22">
        <v>35.159999999999997</v>
      </c>
      <c r="U99" s="93">
        <v>0.70320000000000005</v>
      </c>
      <c r="V99" s="52"/>
    </row>
    <row r="100" spans="2:22" x14ac:dyDescent="0.2">
      <c r="B100" s="123"/>
      <c r="C100" s="17" t="s">
        <v>35</v>
      </c>
      <c r="D100" s="14">
        <v>200</v>
      </c>
      <c r="E100" s="14">
        <v>200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22">
        <v>0</v>
      </c>
      <c r="U100" s="93">
        <v>0</v>
      </c>
      <c r="V100" s="52"/>
    </row>
    <row r="101" spans="2:22" x14ac:dyDescent="0.2">
      <c r="B101" s="123"/>
      <c r="C101" s="17" t="s">
        <v>137</v>
      </c>
      <c r="D101" s="14">
        <v>0.2</v>
      </c>
      <c r="E101" s="14">
        <v>0.2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0.2</v>
      </c>
      <c r="T101" s="22">
        <v>300</v>
      </c>
      <c r="U101" s="93">
        <v>0.06</v>
      </c>
      <c r="V101" s="52"/>
    </row>
    <row r="102" spans="2:22" s="26" customFormat="1" x14ac:dyDescent="0.2">
      <c r="B102" s="125"/>
      <c r="C102" s="28" t="s">
        <v>47</v>
      </c>
      <c r="D102" s="29"/>
      <c r="E102" s="29"/>
      <c r="F102" s="29">
        <v>0</v>
      </c>
      <c r="G102" s="29">
        <v>0</v>
      </c>
      <c r="H102" s="29">
        <v>19.98</v>
      </c>
      <c r="I102" s="29">
        <v>104</v>
      </c>
      <c r="J102" s="29">
        <v>0.6</v>
      </c>
      <c r="K102" s="29">
        <v>0.4</v>
      </c>
      <c r="L102" s="29">
        <v>0</v>
      </c>
      <c r="M102" s="29">
        <v>0</v>
      </c>
      <c r="N102" s="29">
        <v>0.03</v>
      </c>
      <c r="O102" s="29">
        <v>0</v>
      </c>
      <c r="P102" s="29">
        <v>0</v>
      </c>
      <c r="Q102" s="29">
        <v>0</v>
      </c>
      <c r="R102" s="29">
        <v>0</v>
      </c>
      <c r="S102" s="29">
        <v>0.24</v>
      </c>
      <c r="T102" s="3"/>
      <c r="U102" s="32">
        <v>1.9632000000000001</v>
      </c>
      <c r="V102" s="21"/>
    </row>
    <row r="103" spans="2:22" ht="25.5" x14ac:dyDescent="0.2">
      <c r="B103" s="69"/>
      <c r="C103" s="5" t="s">
        <v>105</v>
      </c>
      <c r="D103" s="69">
        <v>30</v>
      </c>
      <c r="E103" s="69">
        <v>30</v>
      </c>
      <c r="F103" s="69">
        <v>1.54</v>
      </c>
      <c r="G103" s="69">
        <v>0.6</v>
      </c>
      <c r="H103" s="69">
        <v>9.9600000000000009</v>
      </c>
      <c r="I103" s="69">
        <v>52.4</v>
      </c>
      <c r="J103" s="69">
        <v>25.4</v>
      </c>
      <c r="K103" s="69">
        <v>5.2</v>
      </c>
      <c r="L103" s="69">
        <v>7</v>
      </c>
      <c r="M103" s="69">
        <v>16.600000000000001</v>
      </c>
      <c r="N103" s="69">
        <v>0.32</v>
      </c>
      <c r="O103" s="69">
        <v>0</v>
      </c>
      <c r="P103" s="69">
        <v>3.2000000000000001E-2</v>
      </c>
      <c r="Q103" s="69">
        <v>1.6E-2</v>
      </c>
      <c r="R103" s="69">
        <v>0.308</v>
      </c>
      <c r="S103" s="69">
        <v>0</v>
      </c>
      <c r="T103" s="69">
        <v>29.29</v>
      </c>
      <c r="U103" s="96">
        <v>0.58584000000000003</v>
      </c>
      <c r="V103" s="96">
        <v>0.74360000000000004</v>
      </c>
    </row>
    <row r="104" spans="2:22" x14ac:dyDescent="0.2">
      <c r="B104" s="69" t="s">
        <v>24</v>
      </c>
      <c r="C104" s="39" t="s">
        <v>106</v>
      </c>
      <c r="D104" s="3">
        <v>20</v>
      </c>
      <c r="E104" s="3">
        <v>20</v>
      </c>
      <c r="F104" s="3">
        <v>1.32</v>
      </c>
      <c r="G104" s="3">
        <v>0.24</v>
      </c>
      <c r="H104" s="3">
        <v>6.84</v>
      </c>
      <c r="I104" s="3">
        <v>36.200000000000003</v>
      </c>
      <c r="J104" s="3">
        <v>18.8</v>
      </c>
      <c r="K104" s="3">
        <v>6.8</v>
      </c>
      <c r="L104" s="3">
        <v>8.1999999999999993</v>
      </c>
      <c r="M104" s="3">
        <v>24</v>
      </c>
      <c r="N104" s="3">
        <v>0.46</v>
      </c>
      <c r="O104" s="3">
        <v>0</v>
      </c>
      <c r="P104" s="3">
        <v>2.1999999999999999E-2</v>
      </c>
      <c r="Q104" s="3">
        <v>1.6E-2</v>
      </c>
      <c r="R104" s="3">
        <v>0.128</v>
      </c>
      <c r="S104" s="3">
        <v>0</v>
      </c>
      <c r="T104" s="69">
        <v>35.9</v>
      </c>
      <c r="U104" s="96">
        <v>0.71799999999999997</v>
      </c>
      <c r="V104" s="96">
        <v>5.8680159999999999</v>
      </c>
    </row>
    <row r="105" spans="2:22" s="26" customFormat="1" x14ac:dyDescent="0.2">
      <c r="B105" s="69"/>
      <c r="C105" s="39" t="s">
        <v>25</v>
      </c>
      <c r="D105" s="3"/>
      <c r="E105" s="3"/>
      <c r="F105" s="3">
        <v>28.005120000000002</v>
      </c>
      <c r="G105" s="3">
        <v>29.980799999999999</v>
      </c>
      <c r="H105" s="3">
        <v>78.219300000000004</v>
      </c>
      <c r="I105" s="3">
        <v>633.77380000000005</v>
      </c>
      <c r="J105" s="3">
        <v>1793.8920000000001</v>
      </c>
      <c r="K105" s="3">
        <v>140.64400000000001</v>
      </c>
      <c r="L105" s="3">
        <v>168.53100000000001</v>
      </c>
      <c r="M105" s="3">
        <v>464.49959999999999</v>
      </c>
      <c r="N105" s="3">
        <v>4.1574999999999998</v>
      </c>
      <c r="O105" s="3">
        <v>4.1079999999999998E-2</v>
      </c>
      <c r="P105" s="3">
        <v>0.44456000000000001</v>
      </c>
      <c r="Q105" s="3">
        <v>0.34487000000000001</v>
      </c>
      <c r="R105" s="3">
        <v>4.9239800000000002</v>
      </c>
      <c r="S105" s="3">
        <v>42.1648</v>
      </c>
      <c r="T105" s="69"/>
      <c r="U105" s="96"/>
      <c r="V105" s="84">
        <f t="shared" ref="V105:V112" si="10">D122*U122/1000</f>
        <v>0.12514500000000001</v>
      </c>
    </row>
    <row r="106" spans="2:22" s="26" customFormat="1" x14ac:dyDescent="0.2">
      <c r="B106" s="69"/>
      <c r="C106" s="130" t="s">
        <v>53</v>
      </c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70"/>
      <c r="S106" s="69"/>
      <c r="T106" s="69"/>
      <c r="U106" s="96"/>
      <c r="V106" s="84">
        <f t="shared" si="10"/>
        <v>0.103778</v>
      </c>
    </row>
    <row r="107" spans="2:22" s="26" customFormat="1" x14ac:dyDescent="0.2">
      <c r="B107" s="69"/>
      <c r="C107" s="130" t="s">
        <v>1</v>
      </c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70"/>
      <c r="S107" s="69"/>
      <c r="T107" s="69"/>
      <c r="U107" s="96"/>
      <c r="V107" s="84">
        <f t="shared" si="10"/>
        <v>0.36</v>
      </c>
    </row>
    <row r="108" spans="2:22" s="26" customFormat="1" ht="25.5" x14ac:dyDescent="0.2">
      <c r="B108" s="69"/>
      <c r="C108" s="40" t="s">
        <v>96</v>
      </c>
      <c r="D108" s="69"/>
      <c r="E108" s="3">
        <v>200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69"/>
      <c r="U108" s="96"/>
      <c r="V108" s="84">
        <f t="shared" si="10"/>
        <v>0.24532500000000002</v>
      </c>
    </row>
    <row r="109" spans="2:22" s="26" customFormat="1" x14ac:dyDescent="0.2">
      <c r="B109" s="69" t="s">
        <v>107</v>
      </c>
      <c r="C109" s="171" t="s">
        <v>31</v>
      </c>
      <c r="D109" s="69">
        <v>120</v>
      </c>
      <c r="E109" s="69">
        <v>90</v>
      </c>
      <c r="F109" s="69">
        <v>1.8</v>
      </c>
      <c r="G109" s="69">
        <v>0.36</v>
      </c>
      <c r="H109" s="69">
        <v>14.67</v>
      </c>
      <c r="I109" s="69">
        <v>69.3</v>
      </c>
      <c r="J109" s="69">
        <v>511.2</v>
      </c>
      <c r="K109" s="69">
        <v>9</v>
      </c>
      <c r="L109" s="69">
        <v>20.7</v>
      </c>
      <c r="M109" s="69">
        <v>52.2</v>
      </c>
      <c r="N109" s="69">
        <v>0.81</v>
      </c>
      <c r="O109" s="69">
        <v>0</v>
      </c>
      <c r="P109" s="69">
        <v>0.108</v>
      </c>
      <c r="Q109" s="69">
        <v>6.3E-2</v>
      </c>
      <c r="R109" s="69">
        <v>1.17</v>
      </c>
      <c r="S109" s="69">
        <v>18</v>
      </c>
      <c r="T109" s="69">
        <v>35.76</v>
      </c>
      <c r="U109" s="96">
        <v>4.2911999999999999</v>
      </c>
      <c r="V109" s="84">
        <f t="shared" si="10"/>
        <v>5.3316000000000002E-2</v>
      </c>
    </row>
    <row r="110" spans="2:22" s="26" customFormat="1" x14ac:dyDescent="0.2">
      <c r="B110" s="69"/>
      <c r="C110" s="171" t="s">
        <v>32</v>
      </c>
      <c r="D110" s="69">
        <v>10</v>
      </c>
      <c r="E110" s="69">
        <v>8</v>
      </c>
      <c r="F110" s="69">
        <v>0.104</v>
      </c>
      <c r="G110" s="69">
        <v>8.0000000000000002E-3</v>
      </c>
      <c r="H110" s="69">
        <v>0.55200000000000005</v>
      </c>
      <c r="I110" s="69">
        <v>2.8</v>
      </c>
      <c r="J110" s="69">
        <v>16</v>
      </c>
      <c r="K110" s="69">
        <v>2.16</v>
      </c>
      <c r="L110" s="69">
        <v>3.04</v>
      </c>
      <c r="M110" s="69">
        <v>4.4000000000000004</v>
      </c>
      <c r="N110" s="69">
        <v>5.6000000000000001E-2</v>
      </c>
      <c r="O110" s="69">
        <v>0</v>
      </c>
      <c r="P110" s="69">
        <v>4.7999999999999996E-3</v>
      </c>
      <c r="Q110" s="69">
        <v>5.5999999999999999E-3</v>
      </c>
      <c r="R110" s="69">
        <v>0.08</v>
      </c>
      <c r="S110" s="69">
        <v>0.4</v>
      </c>
      <c r="T110" s="69">
        <v>34.6</v>
      </c>
      <c r="U110" s="96">
        <v>0.34599999999999997</v>
      </c>
      <c r="V110" s="84">
        <f t="shared" si="10"/>
        <v>5.6066999999999999E-2</v>
      </c>
    </row>
    <row r="111" spans="2:22" s="26" customFormat="1" x14ac:dyDescent="0.2">
      <c r="B111" s="69"/>
      <c r="C111" s="171" t="s">
        <v>33</v>
      </c>
      <c r="D111" s="69">
        <v>9.6</v>
      </c>
      <c r="E111" s="69">
        <v>8</v>
      </c>
      <c r="F111" s="69">
        <v>0.104</v>
      </c>
      <c r="G111" s="69">
        <v>8.0000000000000002E-3</v>
      </c>
      <c r="H111" s="69">
        <v>0.55200000000000005</v>
      </c>
      <c r="I111" s="69">
        <v>2.8</v>
      </c>
      <c r="J111" s="69">
        <v>16</v>
      </c>
      <c r="K111" s="69">
        <v>2.16</v>
      </c>
      <c r="L111" s="69">
        <v>3.04</v>
      </c>
      <c r="M111" s="69">
        <v>4.4000000000000004</v>
      </c>
      <c r="N111" s="69">
        <v>5.6000000000000001E-2</v>
      </c>
      <c r="O111" s="69">
        <v>0</v>
      </c>
      <c r="P111" s="69">
        <v>4.7999999999999996E-3</v>
      </c>
      <c r="Q111" s="69">
        <v>5.5999999999999999E-3</v>
      </c>
      <c r="R111" s="69">
        <v>0.08</v>
      </c>
      <c r="S111" s="69">
        <v>0.4</v>
      </c>
      <c r="T111" s="69">
        <v>34.229999999999997</v>
      </c>
      <c r="U111" s="96">
        <v>0.32860800000000001</v>
      </c>
      <c r="V111" s="84">
        <f t="shared" si="10"/>
        <v>8.7224999999999994E-3</v>
      </c>
    </row>
    <row r="112" spans="2:22" s="26" customFormat="1" ht="25.5" x14ac:dyDescent="0.2">
      <c r="B112" s="69"/>
      <c r="C112" s="171" t="s">
        <v>34</v>
      </c>
      <c r="D112" s="69">
        <v>2</v>
      </c>
      <c r="E112" s="69">
        <v>2</v>
      </c>
      <c r="F112" s="69">
        <v>0</v>
      </c>
      <c r="G112" s="69">
        <v>1.998</v>
      </c>
      <c r="H112" s="69">
        <v>0</v>
      </c>
      <c r="I112" s="69">
        <v>17.98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  <c r="P112" s="69">
        <v>0</v>
      </c>
      <c r="Q112" s="69">
        <v>0</v>
      </c>
      <c r="R112" s="69">
        <v>0</v>
      </c>
      <c r="S112" s="69">
        <v>0</v>
      </c>
      <c r="T112" s="69">
        <v>70.400000000000006</v>
      </c>
      <c r="U112" s="96">
        <v>0.14080000000000001</v>
      </c>
      <c r="V112" s="84">
        <f t="shared" si="10"/>
        <v>4.4999999999999997E-3</v>
      </c>
    </row>
    <row r="113" spans="2:22" s="26" customFormat="1" x14ac:dyDescent="0.2">
      <c r="B113" s="69"/>
      <c r="C113" s="171" t="s">
        <v>35</v>
      </c>
      <c r="D113" s="69">
        <v>140</v>
      </c>
      <c r="E113" s="69">
        <v>140</v>
      </c>
      <c r="F113" s="31">
        <v>0</v>
      </c>
      <c r="G113" s="31">
        <v>0</v>
      </c>
      <c r="H113" s="31">
        <v>0</v>
      </c>
      <c r="I113" s="31">
        <v>0</v>
      </c>
      <c r="J113" s="33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69">
        <v>0</v>
      </c>
      <c r="U113" s="96">
        <v>0</v>
      </c>
      <c r="V113" s="21">
        <v>21.98</v>
      </c>
    </row>
    <row r="114" spans="2:22" ht="28.5" customHeight="1" x14ac:dyDescent="0.2">
      <c r="B114" s="69"/>
      <c r="C114" s="171" t="s">
        <v>46</v>
      </c>
      <c r="D114" s="69">
        <v>1.6</v>
      </c>
      <c r="E114" s="69">
        <v>1.6</v>
      </c>
      <c r="F114" s="69">
        <v>0</v>
      </c>
      <c r="G114" s="69">
        <v>0</v>
      </c>
      <c r="H114" s="69">
        <v>0</v>
      </c>
      <c r="I114" s="69">
        <v>0</v>
      </c>
      <c r="J114" s="86">
        <v>0</v>
      </c>
      <c r="K114" s="69">
        <v>0</v>
      </c>
      <c r="L114" s="69">
        <v>0</v>
      </c>
      <c r="M114" s="87">
        <v>0</v>
      </c>
      <c r="N114" s="69">
        <v>0</v>
      </c>
      <c r="O114" s="69">
        <v>0</v>
      </c>
      <c r="P114" s="69">
        <v>0</v>
      </c>
      <c r="Q114" s="69">
        <v>0</v>
      </c>
      <c r="R114" s="69">
        <v>0</v>
      </c>
      <c r="S114" s="69">
        <v>0</v>
      </c>
      <c r="T114" s="69">
        <v>11.13</v>
      </c>
      <c r="U114" s="96">
        <v>1.7808000000000001E-2</v>
      </c>
      <c r="V114" s="84"/>
    </row>
    <row r="115" spans="2:22" ht="12" customHeight="1" x14ac:dyDescent="0.2">
      <c r="B115" s="69"/>
      <c r="C115" s="171" t="s">
        <v>97</v>
      </c>
      <c r="D115" s="69">
        <v>10.4</v>
      </c>
      <c r="E115" s="69">
        <v>10</v>
      </c>
      <c r="F115" s="69">
        <v>2.09</v>
      </c>
      <c r="G115" s="69">
        <v>0.57999999999999996</v>
      </c>
      <c r="H115" s="69">
        <v>0</v>
      </c>
      <c r="I115" s="69">
        <v>13.6</v>
      </c>
      <c r="J115" s="69">
        <v>26</v>
      </c>
      <c r="K115" s="69">
        <v>18.5</v>
      </c>
      <c r="L115" s="69">
        <v>5.6</v>
      </c>
      <c r="M115" s="69">
        <v>23</v>
      </c>
      <c r="N115" s="69">
        <v>0.09</v>
      </c>
      <c r="O115" s="69">
        <v>0.02</v>
      </c>
      <c r="P115" s="69">
        <v>3.0000000000000001E-3</v>
      </c>
      <c r="Q115" s="69">
        <v>1.4E-2</v>
      </c>
      <c r="R115" s="69">
        <v>0.48</v>
      </c>
      <c r="S115" s="69">
        <v>0</v>
      </c>
      <c r="T115" s="69">
        <v>71.5</v>
      </c>
      <c r="U115" s="96">
        <v>0.74360000000000004</v>
      </c>
      <c r="V115" s="84">
        <f>D132*U132/1000</f>
        <v>1.5492840000000001</v>
      </c>
    </row>
    <row r="116" spans="2:22" ht="12" customHeight="1" x14ac:dyDescent="0.2">
      <c r="B116" s="69"/>
      <c r="C116" s="171" t="s">
        <v>77</v>
      </c>
      <c r="D116" s="69"/>
      <c r="E116" s="69"/>
      <c r="F116" s="69">
        <v>4.0979999999999999</v>
      </c>
      <c r="G116" s="69">
        <v>2.9540000000000002</v>
      </c>
      <c r="H116" s="69">
        <v>15.773999999999999</v>
      </c>
      <c r="I116" s="69">
        <v>106.48</v>
      </c>
      <c r="J116" s="69">
        <v>569.20000000000005</v>
      </c>
      <c r="K116" s="69">
        <v>31.82</v>
      </c>
      <c r="L116" s="69">
        <v>32.380000000000003</v>
      </c>
      <c r="M116" s="69">
        <v>84</v>
      </c>
      <c r="N116" s="69">
        <v>1.012</v>
      </c>
      <c r="O116" s="69">
        <v>0.02</v>
      </c>
      <c r="P116" s="69">
        <v>0.1206</v>
      </c>
      <c r="Q116" s="69">
        <v>8.8200000000000001E-2</v>
      </c>
      <c r="R116" s="69">
        <v>1.81</v>
      </c>
      <c r="S116" s="69">
        <v>18.8</v>
      </c>
      <c r="T116" s="69"/>
      <c r="U116" s="96">
        <v>5.8680159999999999</v>
      </c>
      <c r="V116" s="84">
        <f>D133*U133/1000</f>
        <v>3.4890000000000003E-3</v>
      </c>
    </row>
    <row r="117" spans="2:22" ht="12" customHeight="1" x14ac:dyDescent="0.2">
      <c r="B117" s="69"/>
      <c r="C117" s="28" t="s">
        <v>122</v>
      </c>
      <c r="D117" s="31"/>
      <c r="E117" s="29">
        <v>75</v>
      </c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69"/>
      <c r="U117" s="94"/>
      <c r="V117" s="84">
        <f>D134*U134/1000</f>
        <v>1.6888999999999998</v>
      </c>
    </row>
    <row r="118" spans="2:22" s="26" customFormat="1" ht="25.5" x14ac:dyDescent="0.2">
      <c r="B118" s="30" t="s">
        <v>121</v>
      </c>
      <c r="C118" s="78" t="s">
        <v>123</v>
      </c>
      <c r="D118" s="34">
        <v>147</v>
      </c>
      <c r="E118" s="34">
        <v>106</v>
      </c>
      <c r="F118" s="36">
        <f>18.7*E118/100</f>
        <v>19.821999999999999</v>
      </c>
      <c r="G118" s="36">
        <f>16.1*E118/100</f>
        <v>17.066000000000003</v>
      </c>
      <c r="H118" s="36">
        <v>0</v>
      </c>
      <c r="I118" s="36">
        <f>220*E118/100</f>
        <v>233.2</v>
      </c>
      <c r="J118" s="37">
        <f>236*E118/100</f>
        <v>250.16</v>
      </c>
      <c r="K118" s="36">
        <f>14*E118/100</f>
        <v>14.84</v>
      </c>
      <c r="L118" s="36">
        <f>19*E118/100</f>
        <v>20.14</v>
      </c>
      <c r="M118" s="36">
        <f>160*E118/100</f>
        <v>169.6</v>
      </c>
      <c r="N118" s="36">
        <f>1.3*E118/100</f>
        <v>1.3780000000000001</v>
      </c>
      <c r="O118" s="36">
        <v>0</v>
      </c>
      <c r="P118" s="36">
        <v>0</v>
      </c>
      <c r="Q118" s="36">
        <v>0</v>
      </c>
      <c r="R118" s="36">
        <f>6.1*E118/100</f>
        <v>6.4659999999999993</v>
      </c>
      <c r="S118" s="36">
        <f>2*E118/100</f>
        <v>2.12</v>
      </c>
      <c r="T118" s="69">
        <v>329.42</v>
      </c>
      <c r="U118" s="92">
        <v>141.57</v>
      </c>
      <c r="V118" s="21">
        <f>V115+V116+V117</f>
        <v>3.241673</v>
      </c>
    </row>
    <row r="119" spans="2:22" s="26" customFormat="1" ht="25.5" x14ac:dyDescent="0.2">
      <c r="B119" s="30"/>
      <c r="C119" s="78" t="s">
        <v>34</v>
      </c>
      <c r="D119" s="34">
        <v>2.5</v>
      </c>
      <c r="E119" s="34">
        <v>2.5</v>
      </c>
      <c r="F119" s="69">
        <v>0</v>
      </c>
      <c r="G119" s="69">
        <f>99.9*E119/100</f>
        <v>2.4975000000000001</v>
      </c>
      <c r="H119" s="69">
        <v>0</v>
      </c>
      <c r="I119" s="69">
        <f>899*E119/100</f>
        <v>22.475000000000001</v>
      </c>
      <c r="J119" s="85">
        <v>0</v>
      </c>
      <c r="K119" s="69">
        <v>0</v>
      </c>
      <c r="L119" s="69">
        <v>0</v>
      </c>
      <c r="M119" s="85">
        <v>0</v>
      </c>
      <c r="N119" s="69">
        <v>0</v>
      </c>
      <c r="O119" s="69">
        <v>0</v>
      </c>
      <c r="P119" s="69">
        <v>0</v>
      </c>
      <c r="Q119" s="69">
        <v>0</v>
      </c>
      <c r="R119" s="69">
        <v>0</v>
      </c>
      <c r="S119" s="69">
        <v>0</v>
      </c>
      <c r="T119" s="69">
        <v>29.98</v>
      </c>
      <c r="U119" s="92">
        <v>83.43</v>
      </c>
      <c r="V119" s="84"/>
    </row>
    <row r="120" spans="2:22" s="26" customFormat="1" x14ac:dyDescent="0.2">
      <c r="B120" s="31"/>
      <c r="C120" s="71" t="s">
        <v>99</v>
      </c>
      <c r="D120" s="34"/>
      <c r="E120" s="79">
        <v>75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69">
        <v>35.71</v>
      </c>
      <c r="U120" s="92"/>
      <c r="V120" s="84">
        <f>1*U137/1000</f>
        <v>0.53916999999999993</v>
      </c>
    </row>
    <row r="121" spans="2:22" s="26" customFormat="1" x14ac:dyDescent="0.2">
      <c r="B121" s="136" t="s">
        <v>98</v>
      </c>
      <c r="C121" s="30" t="s">
        <v>100</v>
      </c>
      <c r="D121" s="34">
        <v>75</v>
      </c>
      <c r="E121" s="34">
        <v>75</v>
      </c>
      <c r="F121" s="69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0</v>
      </c>
      <c r="O121" s="69">
        <v>0</v>
      </c>
      <c r="P121" s="69">
        <v>0</v>
      </c>
      <c r="Q121" s="69">
        <v>0</v>
      </c>
      <c r="R121" s="69">
        <v>0</v>
      </c>
      <c r="S121" s="69">
        <v>0</v>
      </c>
      <c r="T121" s="69">
        <v>23.05</v>
      </c>
      <c r="U121" s="92">
        <v>0</v>
      </c>
      <c r="V121" s="84">
        <f>D138*U138/1000</f>
        <v>0.76454999999999995</v>
      </c>
    </row>
    <row r="122" spans="2:22" s="26" customFormat="1" ht="25.5" x14ac:dyDescent="0.2">
      <c r="B122" s="136"/>
      <c r="C122" s="30" t="s">
        <v>34</v>
      </c>
      <c r="D122" s="34">
        <v>1.5</v>
      </c>
      <c r="E122" s="34">
        <v>1.5</v>
      </c>
      <c r="F122" s="69">
        <v>0</v>
      </c>
      <c r="G122" s="69">
        <f>99.9*E122/100</f>
        <v>1.4985000000000002</v>
      </c>
      <c r="H122" s="69">
        <v>0</v>
      </c>
      <c r="I122" s="69">
        <f>899*E122/100</f>
        <v>13.484999999999999</v>
      </c>
      <c r="J122" s="85">
        <v>0</v>
      </c>
      <c r="K122" s="69">
        <v>0</v>
      </c>
      <c r="L122" s="69">
        <v>0</v>
      </c>
      <c r="M122" s="85">
        <v>0</v>
      </c>
      <c r="N122" s="69">
        <v>0</v>
      </c>
      <c r="O122" s="69">
        <v>0</v>
      </c>
      <c r="P122" s="69">
        <v>0</v>
      </c>
      <c r="Q122" s="69">
        <v>0</v>
      </c>
      <c r="R122" s="69">
        <v>0</v>
      </c>
      <c r="S122" s="69">
        <v>0</v>
      </c>
      <c r="T122" s="69">
        <v>297.44</v>
      </c>
      <c r="U122" s="92">
        <v>83.43</v>
      </c>
      <c r="V122" s="84">
        <f>D139*U139/1000</f>
        <v>0</v>
      </c>
    </row>
    <row r="123" spans="2:22" s="26" customFormat="1" x14ac:dyDescent="0.2">
      <c r="B123" s="136"/>
      <c r="C123" s="30" t="s">
        <v>38</v>
      </c>
      <c r="D123" s="34">
        <v>3.8</v>
      </c>
      <c r="E123" s="34">
        <v>3.8</v>
      </c>
      <c r="F123" s="69">
        <f>10.3*E123/100</f>
        <v>0.39140000000000003</v>
      </c>
      <c r="G123" s="69">
        <f>1.1*E123/100</f>
        <v>4.1799999999999997E-2</v>
      </c>
      <c r="H123" s="69">
        <f>69*E123/100</f>
        <v>2.6219999999999999</v>
      </c>
      <c r="I123" s="69">
        <f>334*E123/100</f>
        <v>12.692</v>
      </c>
      <c r="J123" s="85">
        <f>176*E123/100</f>
        <v>6.6879999999999997</v>
      </c>
      <c r="K123" s="69">
        <f>24*E123/100</f>
        <v>0.91199999999999992</v>
      </c>
      <c r="L123" s="69">
        <f>44*E123/100</f>
        <v>1.6719999999999999</v>
      </c>
      <c r="M123" s="85">
        <f>115*E123/100</f>
        <v>4.37</v>
      </c>
      <c r="N123" s="69">
        <f>2.1*E123/100</f>
        <v>7.9799999999999996E-2</v>
      </c>
      <c r="O123" s="69">
        <v>0</v>
      </c>
      <c r="P123" s="69">
        <v>0</v>
      </c>
      <c r="Q123" s="69">
        <v>0</v>
      </c>
      <c r="R123" s="69">
        <v>0</v>
      </c>
      <c r="S123" s="69">
        <v>0</v>
      </c>
      <c r="T123" s="69">
        <v>29.98</v>
      </c>
      <c r="U123" s="92">
        <v>27.31</v>
      </c>
      <c r="V123" s="21">
        <f>SUM(V120:V122)</f>
        <v>1.3037199999999998</v>
      </c>
    </row>
    <row r="124" spans="2:22" x14ac:dyDescent="0.2">
      <c r="B124" s="136"/>
      <c r="C124" s="30" t="s">
        <v>36</v>
      </c>
      <c r="D124" s="34">
        <v>3</v>
      </c>
      <c r="E124" s="34">
        <v>3</v>
      </c>
      <c r="F124" s="34">
        <f>4.8*E124/100</f>
        <v>0.14399999999999999</v>
      </c>
      <c r="G124" s="34">
        <v>0</v>
      </c>
      <c r="H124" s="34">
        <f>19*E124/100</f>
        <v>0.56999999999999995</v>
      </c>
      <c r="I124" s="34">
        <f>102*E124/100</f>
        <v>3.06</v>
      </c>
      <c r="J124" s="34">
        <f>875*E124/100</f>
        <v>26.25</v>
      </c>
      <c r="K124" s="34">
        <f>20*E124/100</f>
        <v>0.6</v>
      </c>
      <c r="L124" s="34">
        <f>50*E124/100</f>
        <v>1.5</v>
      </c>
      <c r="M124" s="34">
        <f>68*E124/100</f>
        <v>2.04</v>
      </c>
      <c r="N124" s="34">
        <f>2.3*E124/100</f>
        <v>6.8999999999999992E-2</v>
      </c>
      <c r="O124" s="34">
        <v>0</v>
      </c>
      <c r="P124" s="34">
        <v>0</v>
      </c>
      <c r="Q124" s="34">
        <v>0</v>
      </c>
      <c r="R124" s="34">
        <v>0</v>
      </c>
      <c r="S124" s="34">
        <f>45*E124/100</f>
        <v>1.35</v>
      </c>
      <c r="T124" s="69">
        <v>11.03</v>
      </c>
      <c r="U124" s="92">
        <v>120</v>
      </c>
      <c r="V124" s="84"/>
    </row>
    <row r="125" spans="2:22" x14ac:dyDescent="0.2">
      <c r="B125" s="136"/>
      <c r="C125" s="30" t="s">
        <v>32</v>
      </c>
      <c r="D125" s="34">
        <v>7.5</v>
      </c>
      <c r="E125" s="34">
        <v>6</v>
      </c>
      <c r="F125" s="34">
        <f>1.3*E125/100</f>
        <v>7.8000000000000014E-2</v>
      </c>
      <c r="G125" s="34">
        <v>0</v>
      </c>
      <c r="H125" s="34">
        <f>6.9*E125/100</f>
        <v>0.41400000000000003</v>
      </c>
      <c r="I125" s="34">
        <f>35*E125/100</f>
        <v>2.1</v>
      </c>
      <c r="J125" s="34">
        <f>200*E125/100</f>
        <v>12</v>
      </c>
      <c r="K125" s="34">
        <f>27*E125/100</f>
        <v>1.62</v>
      </c>
      <c r="L125" s="34">
        <f>38*E125/100</f>
        <v>2.2799999999999998</v>
      </c>
      <c r="M125" s="34">
        <f>55*E125/100</f>
        <v>3.3</v>
      </c>
      <c r="N125" s="34">
        <v>0</v>
      </c>
      <c r="O125" s="34">
        <v>0</v>
      </c>
      <c r="P125" s="34">
        <v>0</v>
      </c>
      <c r="Q125" s="34">
        <v>0</v>
      </c>
      <c r="R125" s="34">
        <f>1*E125/100</f>
        <v>0.06</v>
      </c>
      <c r="S125" s="34">
        <f>5*E125/100</f>
        <v>0.3</v>
      </c>
      <c r="T125" s="69"/>
      <c r="U125" s="92">
        <v>32.71</v>
      </c>
      <c r="V125" s="84"/>
    </row>
    <row r="126" spans="2:22" x14ac:dyDescent="0.2">
      <c r="B126" s="136"/>
      <c r="C126" s="30" t="s">
        <v>33</v>
      </c>
      <c r="D126" s="159">
        <v>1.8</v>
      </c>
      <c r="E126" s="160">
        <v>1.5</v>
      </c>
      <c r="F126" s="69">
        <f>1.4*E126/100</f>
        <v>2.0999999999999998E-2</v>
      </c>
      <c r="G126" s="157">
        <v>0</v>
      </c>
      <c r="H126" s="157">
        <f>8.2*E126/100</f>
        <v>0.12299999999999998</v>
      </c>
      <c r="I126" s="157">
        <f>41*E126/100</f>
        <v>0.61499999999999999</v>
      </c>
      <c r="J126" s="158">
        <f>175*E126/100</f>
        <v>2.625</v>
      </c>
      <c r="K126" s="157">
        <f>31*E126/100</f>
        <v>0.46500000000000002</v>
      </c>
      <c r="L126" s="157">
        <f>14*E126/100</f>
        <v>0.21</v>
      </c>
      <c r="M126" s="158">
        <f>58*E126/100</f>
        <v>0.87</v>
      </c>
      <c r="N126" s="157">
        <v>0</v>
      </c>
      <c r="O126" s="157">
        <v>0</v>
      </c>
      <c r="P126" s="157">
        <v>0</v>
      </c>
      <c r="Q126" s="157">
        <v>0</v>
      </c>
      <c r="R126" s="157">
        <v>0</v>
      </c>
      <c r="S126" s="157">
        <f>10*E126/100</f>
        <v>0.15</v>
      </c>
      <c r="T126" s="69"/>
      <c r="U126" s="92">
        <v>29.62</v>
      </c>
      <c r="V126" s="21">
        <v>31.86</v>
      </c>
    </row>
    <row r="127" spans="2:22" x14ac:dyDescent="0.2">
      <c r="B127" s="136"/>
      <c r="C127" s="30" t="s">
        <v>30</v>
      </c>
      <c r="D127" s="69">
        <v>1.1000000000000001</v>
      </c>
      <c r="E127" s="69">
        <v>1.1000000000000001</v>
      </c>
      <c r="F127" s="84">
        <v>0</v>
      </c>
      <c r="G127" s="84">
        <v>0</v>
      </c>
      <c r="H127" s="84">
        <f>99.8*E127/100</f>
        <v>1.0978000000000001</v>
      </c>
      <c r="I127" s="84">
        <f>379*E127/100</f>
        <v>4.1690000000000005</v>
      </c>
      <c r="J127" s="84">
        <f>3*E127/100</f>
        <v>3.3000000000000002E-2</v>
      </c>
      <c r="K127" s="84">
        <f>2*E127/100</f>
        <v>2.2000000000000002E-2</v>
      </c>
      <c r="L127" s="84">
        <v>0</v>
      </c>
      <c r="M127" s="84">
        <v>0</v>
      </c>
      <c r="N127" s="84">
        <v>0</v>
      </c>
      <c r="O127" s="84">
        <v>0</v>
      </c>
      <c r="P127" s="84">
        <v>0</v>
      </c>
      <c r="Q127" s="84">
        <v>0</v>
      </c>
      <c r="R127" s="84">
        <v>0</v>
      </c>
      <c r="S127" s="84">
        <v>0</v>
      </c>
      <c r="T127" s="69">
        <v>0</v>
      </c>
      <c r="U127" s="92">
        <v>50.97</v>
      </c>
      <c r="V127" s="84"/>
    </row>
    <row r="128" spans="2:22" s="26" customFormat="1" x14ac:dyDescent="0.2">
      <c r="B128" s="136"/>
      <c r="C128" s="30" t="s">
        <v>46</v>
      </c>
      <c r="D128" s="69">
        <v>0.75</v>
      </c>
      <c r="E128" s="69">
        <v>0.75</v>
      </c>
      <c r="F128" s="69">
        <v>0</v>
      </c>
      <c r="G128" s="69">
        <v>0</v>
      </c>
      <c r="H128" s="69">
        <v>0</v>
      </c>
      <c r="I128" s="69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0</v>
      </c>
      <c r="Q128" s="84">
        <v>0</v>
      </c>
      <c r="R128" s="84">
        <v>0</v>
      </c>
      <c r="S128" s="84">
        <v>0</v>
      </c>
      <c r="T128" s="69">
        <v>71.02</v>
      </c>
      <c r="U128" s="92">
        <v>11.63</v>
      </c>
      <c r="V128" s="84"/>
    </row>
    <row r="129" spans="2:22" x14ac:dyDescent="0.2">
      <c r="B129" s="136"/>
      <c r="C129" s="76" t="s">
        <v>39</v>
      </c>
      <c r="D129" s="69">
        <v>1.4999999999999999E-2</v>
      </c>
      <c r="E129" s="69">
        <v>1.4999999999999999E-2</v>
      </c>
      <c r="F129" s="69">
        <v>0</v>
      </c>
      <c r="G129" s="69">
        <v>0</v>
      </c>
      <c r="H129" s="69">
        <v>0</v>
      </c>
      <c r="I129" s="69">
        <v>0</v>
      </c>
      <c r="J129" s="69">
        <v>0</v>
      </c>
      <c r="K129" s="69">
        <v>0</v>
      </c>
      <c r="L129" s="69">
        <v>0</v>
      </c>
      <c r="M129" s="69">
        <v>0</v>
      </c>
      <c r="N129" s="69">
        <v>0</v>
      </c>
      <c r="O129" s="69">
        <v>0</v>
      </c>
      <c r="P129" s="69">
        <v>0</v>
      </c>
      <c r="Q129" s="69">
        <v>0</v>
      </c>
      <c r="R129" s="69">
        <v>0</v>
      </c>
      <c r="S129" s="69">
        <v>0</v>
      </c>
      <c r="T129" s="69">
        <v>24.11</v>
      </c>
      <c r="U129" s="92">
        <v>300</v>
      </c>
      <c r="V129" s="84"/>
    </row>
    <row r="130" spans="2:22" x14ac:dyDescent="0.2">
      <c r="B130" s="136"/>
      <c r="C130" s="71" t="s">
        <v>77</v>
      </c>
      <c r="D130" s="69"/>
      <c r="E130" s="69"/>
      <c r="F130" s="3">
        <f>SUM(F121:F129)+F118+F119</f>
        <v>20.456399999999999</v>
      </c>
      <c r="G130" s="3">
        <f t="shared" ref="G130:S130" si="11">SUM(G121:G129)+G118+G119</f>
        <v>21.103800000000003</v>
      </c>
      <c r="H130" s="3">
        <f t="shared" si="11"/>
        <v>4.8267999999999995</v>
      </c>
      <c r="I130" s="3">
        <f t="shared" si="11"/>
        <v>291.79599999999999</v>
      </c>
      <c r="J130" s="3">
        <f t="shared" si="11"/>
        <v>297.75599999999997</v>
      </c>
      <c r="K130" s="3">
        <f t="shared" si="11"/>
        <v>18.459</v>
      </c>
      <c r="L130" s="3">
        <f t="shared" si="11"/>
        <v>25.802</v>
      </c>
      <c r="M130" s="3">
        <f t="shared" si="11"/>
        <v>180.18</v>
      </c>
      <c r="N130" s="3">
        <f t="shared" si="11"/>
        <v>1.5268000000000002</v>
      </c>
      <c r="O130" s="3">
        <f t="shared" si="11"/>
        <v>0</v>
      </c>
      <c r="P130" s="3">
        <f t="shared" si="11"/>
        <v>0</v>
      </c>
      <c r="Q130" s="3">
        <f t="shared" si="11"/>
        <v>0</v>
      </c>
      <c r="R130" s="3">
        <f t="shared" si="11"/>
        <v>6.5259999999999989</v>
      </c>
      <c r="S130" s="3">
        <f t="shared" si="11"/>
        <v>3.92</v>
      </c>
      <c r="T130" s="69">
        <v>160.44999999999999</v>
      </c>
      <c r="U130" s="92"/>
      <c r="V130" s="96">
        <v>2.8607999999999998</v>
      </c>
    </row>
    <row r="131" spans="2:22" ht="25.5" x14ac:dyDescent="0.2">
      <c r="B131" s="136"/>
      <c r="C131" s="5" t="s">
        <v>118</v>
      </c>
      <c r="D131" s="69"/>
      <c r="E131" s="3">
        <v>150</v>
      </c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>
        <v>28.06</v>
      </c>
      <c r="U131" s="92"/>
      <c r="V131" s="96">
        <v>0.11728</v>
      </c>
    </row>
    <row r="132" spans="2:22" x14ac:dyDescent="0.2">
      <c r="B132" s="144" t="s">
        <v>6</v>
      </c>
      <c r="C132" s="65" t="s">
        <v>86</v>
      </c>
      <c r="D132" s="69">
        <v>58.2</v>
      </c>
      <c r="E132" s="69">
        <v>58.2</v>
      </c>
      <c r="F132" s="69">
        <f>12.5*E132/100</f>
        <v>7.2750000000000004</v>
      </c>
      <c r="G132" s="69">
        <v>0</v>
      </c>
      <c r="H132" s="69">
        <f>71.8*E132/100</f>
        <v>41.787600000000005</v>
      </c>
      <c r="I132" s="69">
        <f>326*E132/100</f>
        <v>189.732</v>
      </c>
      <c r="J132" s="69">
        <v>0</v>
      </c>
      <c r="K132" s="69">
        <v>0</v>
      </c>
      <c r="L132" s="69">
        <v>0</v>
      </c>
      <c r="M132" s="69">
        <f>276*E132/100</f>
        <v>160.63200000000001</v>
      </c>
      <c r="N132" s="69">
        <f>6.7*E132/100</f>
        <v>3.8994000000000004</v>
      </c>
      <c r="O132" s="69">
        <v>0</v>
      </c>
      <c r="P132" s="69">
        <v>0</v>
      </c>
      <c r="Q132" s="69">
        <v>0</v>
      </c>
      <c r="R132" s="69">
        <v>0</v>
      </c>
      <c r="S132" s="69">
        <v>0</v>
      </c>
      <c r="T132" s="69">
        <v>25.73</v>
      </c>
      <c r="U132" s="92">
        <v>26.62</v>
      </c>
      <c r="V132" s="96">
        <v>0.34599999999999997</v>
      </c>
    </row>
    <row r="133" spans="2:22" ht="18" customHeight="1" x14ac:dyDescent="0.2">
      <c r="B133" s="144"/>
      <c r="C133" s="65" t="s">
        <v>46</v>
      </c>
      <c r="D133" s="69">
        <v>0.3</v>
      </c>
      <c r="E133" s="69">
        <v>0.3</v>
      </c>
      <c r="F133" s="69">
        <v>0</v>
      </c>
      <c r="G133" s="69">
        <v>0</v>
      </c>
      <c r="H133" s="69">
        <v>0</v>
      </c>
      <c r="I133" s="69">
        <v>0</v>
      </c>
      <c r="J133" s="69">
        <v>0</v>
      </c>
      <c r="K133" s="69">
        <v>0</v>
      </c>
      <c r="L133" s="69">
        <v>0</v>
      </c>
      <c r="M133" s="69">
        <v>0</v>
      </c>
      <c r="N133" s="69">
        <v>0</v>
      </c>
      <c r="O133" s="69">
        <v>0</v>
      </c>
      <c r="P133" s="69">
        <v>0</v>
      </c>
      <c r="Q133" s="69">
        <v>0</v>
      </c>
      <c r="R133" s="69">
        <v>0</v>
      </c>
      <c r="S133" s="69">
        <v>0</v>
      </c>
      <c r="T133" s="69">
        <v>30.63</v>
      </c>
      <c r="U133" s="92">
        <v>11.63</v>
      </c>
      <c r="V133" s="96">
        <v>0.16430400000000001</v>
      </c>
    </row>
    <row r="134" spans="2:22" ht="12.75" customHeight="1" x14ac:dyDescent="0.2">
      <c r="B134" s="144"/>
      <c r="C134" s="65" t="s">
        <v>37</v>
      </c>
      <c r="D134" s="69">
        <v>5</v>
      </c>
      <c r="E134" s="69">
        <v>5</v>
      </c>
      <c r="F134" s="69">
        <f>0.8*E134/100</f>
        <v>0.04</v>
      </c>
      <c r="G134" s="69">
        <f>72.5*E134/100</f>
        <v>3.625</v>
      </c>
      <c r="H134" s="69">
        <f>1.3*E134/100</f>
        <v>6.5000000000000002E-2</v>
      </c>
      <c r="I134" s="69">
        <f>661*E134/100</f>
        <v>33.049999999999997</v>
      </c>
      <c r="J134" s="86">
        <f>23*E134/100</f>
        <v>1.1499999999999999</v>
      </c>
      <c r="K134" s="69">
        <f>22*E134/100</f>
        <v>1.1000000000000001</v>
      </c>
      <c r="L134" s="69">
        <f>3*E134/100</f>
        <v>0.15</v>
      </c>
      <c r="M134" s="85">
        <f>19*E134/100</f>
        <v>0.95</v>
      </c>
      <c r="N134" s="69">
        <f>0.2*E134/100</f>
        <v>0.01</v>
      </c>
      <c r="O134" s="69">
        <f>0.5*E134/100</f>
        <v>2.5000000000000001E-2</v>
      </c>
      <c r="P134" s="69">
        <f>0</f>
        <v>0</v>
      </c>
      <c r="Q134" s="96">
        <f>0.01*E134/1000</f>
        <v>5.0000000000000002E-5</v>
      </c>
      <c r="R134" s="69">
        <f>0.1*E134/100</f>
        <v>5.0000000000000001E-3</v>
      </c>
      <c r="S134" s="69">
        <f>0</f>
        <v>0</v>
      </c>
      <c r="T134" s="69">
        <v>11.03</v>
      </c>
      <c r="U134" s="92">
        <v>337.78</v>
      </c>
      <c r="V134" s="96">
        <v>1.767728</v>
      </c>
    </row>
    <row r="135" spans="2:22" ht="12.75" customHeight="1" x14ac:dyDescent="0.2">
      <c r="B135" s="144"/>
      <c r="C135" s="71" t="s">
        <v>77</v>
      </c>
      <c r="D135" s="84"/>
      <c r="E135" s="84"/>
      <c r="F135" s="21">
        <f>F132+F133+F134</f>
        <v>7.3150000000000004</v>
      </c>
      <c r="G135" s="21">
        <f t="shared" ref="G135:S135" si="12">G132+G133+G134</f>
        <v>3.625</v>
      </c>
      <c r="H135" s="21">
        <f t="shared" si="12"/>
        <v>41.852600000000002</v>
      </c>
      <c r="I135" s="21">
        <f t="shared" si="12"/>
        <v>222.78199999999998</v>
      </c>
      <c r="J135" s="21">
        <f t="shared" si="12"/>
        <v>1.1499999999999999</v>
      </c>
      <c r="K135" s="21">
        <f t="shared" si="12"/>
        <v>1.1000000000000001</v>
      </c>
      <c r="L135" s="21">
        <f t="shared" si="12"/>
        <v>0.15</v>
      </c>
      <c r="M135" s="21">
        <f t="shared" si="12"/>
        <v>161.58199999999999</v>
      </c>
      <c r="N135" s="21">
        <f t="shared" si="12"/>
        <v>3.9094000000000002</v>
      </c>
      <c r="O135" s="21">
        <f t="shared" si="12"/>
        <v>2.5000000000000001E-2</v>
      </c>
      <c r="P135" s="21">
        <f t="shared" si="12"/>
        <v>0</v>
      </c>
      <c r="Q135" s="21">
        <f t="shared" si="12"/>
        <v>5.0000000000000002E-5</v>
      </c>
      <c r="R135" s="21">
        <f t="shared" si="12"/>
        <v>5.0000000000000001E-3</v>
      </c>
      <c r="S135" s="21">
        <f t="shared" si="12"/>
        <v>0</v>
      </c>
      <c r="T135" s="69">
        <v>300</v>
      </c>
      <c r="U135" s="92"/>
      <c r="V135" s="96">
        <v>0.28160000000000002</v>
      </c>
    </row>
    <row r="136" spans="2:22" ht="12.75" customHeight="1" x14ac:dyDescent="0.2">
      <c r="B136" s="144"/>
      <c r="C136" s="5" t="s">
        <v>74</v>
      </c>
      <c r="D136" s="313" t="s">
        <v>75</v>
      </c>
      <c r="E136" s="314"/>
      <c r="F136" s="4"/>
      <c r="G136" s="4"/>
      <c r="H136" s="4"/>
      <c r="I136" s="4"/>
      <c r="J136" s="11"/>
      <c r="K136" s="4"/>
      <c r="L136" s="4"/>
      <c r="M136" s="11"/>
      <c r="N136" s="4"/>
      <c r="O136" s="4"/>
      <c r="P136" s="4"/>
      <c r="Q136" s="4"/>
      <c r="R136" s="51"/>
      <c r="S136" s="4"/>
      <c r="T136" s="69"/>
      <c r="U136" s="96"/>
      <c r="V136" s="96">
        <v>1.7808000000000001E-2</v>
      </c>
    </row>
    <row r="137" spans="2:22" ht="12.75" customHeight="1" x14ac:dyDescent="0.2">
      <c r="B137" s="69" t="s">
        <v>73</v>
      </c>
      <c r="C137" s="65" t="s">
        <v>40</v>
      </c>
      <c r="D137" s="159">
        <v>50</v>
      </c>
      <c r="E137" s="159">
        <v>50</v>
      </c>
      <c r="F137" s="69">
        <v>0.1</v>
      </c>
      <c r="G137" s="69">
        <v>0</v>
      </c>
      <c r="H137" s="69">
        <v>0</v>
      </c>
      <c r="I137" s="69">
        <v>0.8</v>
      </c>
      <c r="J137" s="85">
        <v>12.4</v>
      </c>
      <c r="K137" s="69">
        <v>2.5</v>
      </c>
      <c r="L137" s="69">
        <v>2.2000000000000002</v>
      </c>
      <c r="M137" s="85">
        <v>4.12</v>
      </c>
      <c r="N137" s="69">
        <v>0.4</v>
      </c>
      <c r="O137" s="69">
        <v>0</v>
      </c>
      <c r="P137" s="69">
        <v>0</v>
      </c>
      <c r="Q137" s="69">
        <v>0</v>
      </c>
      <c r="R137" s="70">
        <v>0</v>
      </c>
      <c r="S137" s="69">
        <v>0</v>
      </c>
      <c r="T137" s="69"/>
      <c r="U137" s="96">
        <v>539.16999999999996</v>
      </c>
      <c r="V137" s="96">
        <v>0</v>
      </c>
    </row>
    <row r="138" spans="2:22" ht="12.75" customHeight="1" x14ac:dyDescent="0.2">
      <c r="B138" s="69"/>
      <c r="C138" s="65" t="s">
        <v>30</v>
      </c>
      <c r="D138" s="159">
        <v>15</v>
      </c>
      <c r="E138" s="159">
        <v>15</v>
      </c>
      <c r="F138" s="69">
        <v>0</v>
      </c>
      <c r="G138" s="69">
        <v>0</v>
      </c>
      <c r="H138" s="69">
        <v>15</v>
      </c>
      <c r="I138" s="69">
        <v>56.9</v>
      </c>
      <c r="J138" s="85">
        <v>0.5</v>
      </c>
      <c r="K138" s="69">
        <v>0.4</v>
      </c>
      <c r="L138" s="69">
        <v>0</v>
      </c>
      <c r="M138" s="85">
        <v>0</v>
      </c>
      <c r="N138" s="69">
        <v>0</v>
      </c>
      <c r="O138" s="69">
        <v>0</v>
      </c>
      <c r="P138" s="69">
        <v>0</v>
      </c>
      <c r="Q138" s="69">
        <v>0</v>
      </c>
      <c r="R138" s="70">
        <v>0</v>
      </c>
      <c r="S138" s="69">
        <v>0</v>
      </c>
      <c r="T138" s="69"/>
      <c r="U138" s="96">
        <v>50.97</v>
      </c>
      <c r="V138" s="96">
        <v>5.5555199999999996</v>
      </c>
    </row>
    <row r="139" spans="2:22" ht="12.75" customHeight="1" x14ac:dyDescent="0.2">
      <c r="B139" s="69"/>
      <c r="C139" s="65" t="s">
        <v>35</v>
      </c>
      <c r="D139" s="159">
        <v>150</v>
      </c>
      <c r="E139" s="159">
        <v>150</v>
      </c>
      <c r="F139" s="69">
        <v>0</v>
      </c>
      <c r="G139" s="69">
        <v>0</v>
      </c>
      <c r="H139" s="69">
        <v>0</v>
      </c>
      <c r="I139" s="69">
        <v>0</v>
      </c>
      <c r="J139" s="69">
        <v>0</v>
      </c>
      <c r="K139" s="69">
        <v>0</v>
      </c>
      <c r="L139" s="69">
        <v>0</v>
      </c>
      <c r="M139" s="69">
        <v>0</v>
      </c>
      <c r="N139" s="69">
        <v>0</v>
      </c>
      <c r="O139" s="69">
        <v>0</v>
      </c>
      <c r="P139" s="69">
        <v>0</v>
      </c>
      <c r="Q139" s="69">
        <v>0</v>
      </c>
      <c r="R139" s="70">
        <v>0</v>
      </c>
      <c r="S139" s="69">
        <v>0</v>
      </c>
      <c r="T139" s="69"/>
      <c r="U139" s="96">
        <v>0</v>
      </c>
      <c r="V139" s="69"/>
    </row>
    <row r="140" spans="2:22" ht="12.75" customHeight="1" x14ac:dyDescent="0.2">
      <c r="B140" s="69"/>
      <c r="C140" s="39" t="s">
        <v>47</v>
      </c>
      <c r="D140" s="3"/>
      <c r="E140" s="3"/>
      <c r="F140" s="3">
        <f t="shared" ref="F140:S140" si="13">SUM(F137:F139)</f>
        <v>0.1</v>
      </c>
      <c r="G140" s="3">
        <f t="shared" si="13"/>
        <v>0</v>
      </c>
      <c r="H140" s="3">
        <f t="shared" si="13"/>
        <v>15</v>
      </c>
      <c r="I140" s="3">
        <f t="shared" si="13"/>
        <v>57.699999999999996</v>
      </c>
      <c r="J140" s="3">
        <f t="shared" si="13"/>
        <v>12.9</v>
      </c>
      <c r="K140" s="3">
        <f t="shared" si="13"/>
        <v>2.9</v>
      </c>
      <c r="L140" s="3">
        <f t="shared" si="13"/>
        <v>2.2000000000000002</v>
      </c>
      <c r="M140" s="3">
        <f t="shared" si="13"/>
        <v>4.12</v>
      </c>
      <c r="N140" s="3">
        <f t="shared" si="13"/>
        <v>0.4</v>
      </c>
      <c r="O140" s="3">
        <f t="shared" si="13"/>
        <v>0</v>
      </c>
      <c r="P140" s="3">
        <f t="shared" si="13"/>
        <v>0</v>
      </c>
      <c r="Q140" s="3">
        <f t="shared" si="13"/>
        <v>0</v>
      </c>
      <c r="R140" s="50">
        <f t="shared" si="13"/>
        <v>0</v>
      </c>
      <c r="S140" s="3">
        <f t="shared" si="13"/>
        <v>0</v>
      </c>
      <c r="T140" s="3"/>
      <c r="U140" s="32"/>
      <c r="V140" s="96">
        <v>15.06744</v>
      </c>
    </row>
    <row r="141" spans="2:22" ht="12.75" customHeight="1" x14ac:dyDescent="0.2">
      <c r="B141" s="69"/>
      <c r="C141" s="5" t="s">
        <v>105</v>
      </c>
      <c r="D141" s="130">
        <v>30</v>
      </c>
      <c r="E141" s="130">
        <v>30</v>
      </c>
      <c r="F141" s="3">
        <v>1.54</v>
      </c>
      <c r="G141" s="3">
        <v>0.6</v>
      </c>
      <c r="H141" s="3">
        <v>9.9600000000000009</v>
      </c>
      <c r="I141" s="3">
        <v>52.4</v>
      </c>
      <c r="J141" s="7">
        <v>25.4</v>
      </c>
      <c r="K141" s="3">
        <v>5.2</v>
      </c>
      <c r="L141" s="3">
        <v>7</v>
      </c>
      <c r="M141" s="7">
        <v>16.600000000000001</v>
      </c>
      <c r="N141" s="3">
        <v>0.32</v>
      </c>
      <c r="O141" s="3">
        <v>0</v>
      </c>
      <c r="P141" s="3">
        <v>3.2000000000000001E-2</v>
      </c>
      <c r="Q141" s="3">
        <v>1.6E-2</v>
      </c>
      <c r="R141" s="3">
        <v>0.308</v>
      </c>
      <c r="S141" s="3">
        <v>0</v>
      </c>
      <c r="T141" s="69">
        <v>29.29</v>
      </c>
      <c r="U141" s="96">
        <v>0.58584000000000003</v>
      </c>
      <c r="V141" s="96">
        <v>0.38297599999999998</v>
      </c>
    </row>
    <row r="142" spans="2:22" ht="12.75" customHeight="1" x14ac:dyDescent="0.2">
      <c r="B142" s="69" t="s">
        <v>24</v>
      </c>
      <c r="C142" s="5" t="s">
        <v>106</v>
      </c>
      <c r="D142" s="159">
        <v>20</v>
      </c>
      <c r="E142" s="159">
        <v>20</v>
      </c>
      <c r="F142" s="69">
        <v>1.32</v>
      </c>
      <c r="G142" s="69">
        <v>0.24</v>
      </c>
      <c r="H142" s="69">
        <v>6.84</v>
      </c>
      <c r="I142" s="69">
        <v>36.200000000000003</v>
      </c>
      <c r="J142" s="69">
        <v>18.8</v>
      </c>
      <c r="K142" s="69">
        <v>6.8</v>
      </c>
      <c r="L142" s="69">
        <v>8.1999999999999993</v>
      </c>
      <c r="M142" s="69">
        <v>24</v>
      </c>
      <c r="N142" s="69">
        <v>0.46</v>
      </c>
      <c r="O142" s="69">
        <v>0</v>
      </c>
      <c r="P142" s="69">
        <v>2.1999999999999999E-2</v>
      </c>
      <c r="Q142" s="69">
        <v>1.6E-2</v>
      </c>
      <c r="R142" s="69">
        <v>0.128</v>
      </c>
      <c r="S142" s="69">
        <v>0</v>
      </c>
      <c r="T142" s="69">
        <v>35.9</v>
      </c>
      <c r="U142" s="96">
        <v>0.71799999999999997</v>
      </c>
      <c r="V142" s="96">
        <v>0</v>
      </c>
    </row>
    <row r="143" spans="2:22" ht="12.75" customHeight="1" x14ac:dyDescent="0.2">
      <c r="B143" s="69" t="s">
        <v>24</v>
      </c>
      <c r="C143" s="5" t="s">
        <v>25</v>
      </c>
      <c r="D143" s="159"/>
      <c r="E143" s="159"/>
      <c r="F143" s="3">
        <v>30.317350000000001</v>
      </c>
      <c r="G143" s="3">
        <v>29.9864</v>
      </c>
      <c r="H143" s="3">
        <v>105.1669</v>
      </c>
      <c r="I143" s="3">
        <v>857.90599999999995</v>
      </c>
      <c r="J143" s="3">
        <v>915.04</v>
      </c>
      <c r="K143" s="3">
        <v>65.564999999999998</v>
      </c>
      <c r="L143" s="3">
        <v>83.597999999999999</v>
      </c>
      <c r="M143" s="3">
        <v>316.44049999999999</v>
      </c>
      <c r="N143" s="3">
        <v>8.1491500000000006</v>
      </c>
      <c r="O143" s="3">
        <v>0.11069</v>
      </c>
      <c r="P143" s="3">
        <v>0.53471500000000005</v>
      </c>
      <c r="Q143" s="3">
        <v>0.35713</v>
      </c>
      <c r="R143" s="3">
        <v>10.23165</v>
      </c>
      <c r="S143" s="3">
        <v>21.312000000000001</v>
      </c>
      <c r="T143" s="26"/>
      <c r="U143" s="165">
        <v>31.857060499999999</v>
      </c>
      <c r="V143" s="96">
        <v>0</v>
      </c>
    </row>
    <row r="144" spans="2:22" ht="12.75" customHeight="1" x14ac:dyDescent="0.2">
      <c r="B144" s="69"/>
      <c r="C144" s="130" t="s">
        <v>56</v>
      </c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70"/>
      <c r="S144" s="69"/>
      <c r="T144" s="69"/>
      <c r="U144" s="96"/>
      <c r="V144" s="96">
        <v>0.23935999999999999</v>
      </c>
    </row>
    <row r="145" spans="1:23" ht="12.75" customHeight="1" x14ac:dyDescent="0.2">
      <c r="B145" s="69"/>
      <c r="C145" s="130" t="s">
        <v>1</v>
      </c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70"/>
      <c r="S145" s="69"/>
      <c r="T145" s="69"/>
      <c r="U145" s="96"/>
      <c r="V145" s="96">
        <v>0.33792</v>
      </c>
    </row>
    <row r="146" spans="1:23" ht="12.75" customHeight="1" x14ac:dyDescent="0.2">
      <c r="B146" s="69"/>
      <c r="C146" s="5" t="s">
        <v>90</v>
      </c>
      <c r="D146" s="159"/>
      <c r="E146" s="6">
        <v>200</v>
      </c>
      <c r="F146" s="4"/>
      <c r="G146" s="4"/>
      <c r="H146" s="4"/>
      <c r="I146" s="4"/>
      <c r="J146" s="10"/>
      <c r="K146" s="4"/>
      <c r="L146" s="4"/>
      <c r="M146" s="11"/>
      <c r="N146" s="4"/>
      <c r="O146" s="4"/>
      <c r="P146" s="4"/>
      <c r="Q146" s="4"/>
      <c r="R146" s="51"/>
      <c r="S146" s="4"/>
      <c r="T146" s="69"/>
      <c r="U146" s="96"/>
      <c r="V146" s="96">
        <v>2.6712E-2</v>
      </c>
    </row>
    <row r="147" spans="1:23" ht="12.75" customHeight="1" x14ac:dyDescent="0.2">
      <c r="B147" s="69" t="s">
        <v>54</v>
      </c>
      <c r="C147" s="65" t="s">
        <v>31</v>
      </c>
      <c r="D147" s="159">
        <v>80</v>
      </c>
      <c r="E147" s="6">
        <v>60</v>
      </c>
      <c r="F147" s="4">
        <v>1.2</v>
      </c>
      <c r="G147" s="4">
        <v>0.24</v>
      </c>
      <c r="H147" s="4">
        <v>9.7799999999999994</v>
      </c>
      <c r="I147" s="4">
        <v>46.2</v>
      </c>
      <c r="J147" s="10">
        <v>340.8</v>
      </c>
      <c r="K147" s="4">
        <v>6</v>
      </c>
      <c r="L147" s="4">
        <v>13.8</v>
      </c>
      <c r="M147" s="11">
        <v>34.799999999999997</v>
      </c>
      <c r="N147" s="4">
        <v>0.54</v>
      </c>
      <c r="O147" s="4">
        <v>0</v>
      </c>
      <c r="P147" s="4">
        <v>7.1999999999999995E-2</v>
      </c>
      <c r="Q147" s="4">
        <v>4.2000000000000003E-2</v>
      </c>
      <c r="R147" s="51">
        <v>0.78</v>
      </c>
      <c r="S147" s="4">
        <v>12</v>
      </c>
      <c r="T147" s="69">
        <v>35.76</v>
      </c>
      <c r="U147" s="96">
        <v>2.8607999999999998</v>
      </c>
      <c r="V147" s="96">
        <v>16.054407999999999</v>
      </c>
    </row>
    <row r="148" spans="1:23" ht="12.75" customHeight="1" x14ac:dyDescent="0.2">
      <c r="B148" s="69"/>
      <c r="C148" s="65" t="s">
        <v>86</v>
      </c>
      <c r="D148" s="159">
        <v>4</v>
      </c>
      <c r="E148" s="6">
        <v>4</v>
      </c>
      <c r="F148" s="4">
        <v>0.41199999999999998</v>
      </c>
      <c r="G148" s="4">
        <v>4.3999999999999997E-2</v>
      </c>
      <c r="H148" s="4">
        <v>2.76</v>
      </c>
      <c r="I148" s="4">
        <v>13.36</v>
      </c>
      <c r="J148" s="10">
        <v>7</v>
      </c>
      <c r="K148" s="4">
        <v>0.96</v>
      </c>
      <c r="L148" s="4">
        <v>1.76</v>
      </c>
      <c r="M148" s="11">
        <v>4.5999999999999996</v>
      </c>
      <c r="N148" s="4">
        <v>8.4000000000000005E-2</v>
      </c>
      <c r="O148" s="4">
        <v>0</v>
      </c>
      <c r="P148" s="4">
        <v>6.7999999999999996E-3</v>
      </c>
      <c r="Q148" s="4">
        <v>3.2000000000000002E-3</v>
      </c>
      <c r="R148" s="51">
        <v>4.8000000000000001E-2</v>
      </c>
      <c r="S148" s="4">
        <v>0</v>
      </c>
      <c r="T148" s="69">
        <v>29.32</v>
      </c>
      <c r="U148" s="96">
        <v>0.11728</v>
      </c>
      <c r="V148" s="84">
        <f t="shared" ref="V148:V157" si="14">D165*U165/1000</f>
        <v>0</v>
      </c>
    </row>
    <row r="149" spans="1:23" x14ac:dyDescent="0.2">
      <c r="B149" s="69"/>
      <c r="C149" s="65" t="s">
        <v>32</v>
      </c>
      <c r="D149" s="159">
        <v>10</v>
      </c>
      <c r="E149" s="6">
        <v>8</v>
      </c>
      <c r="F149" s="4">
        <v>0.104</v>
      </c>
      <c r="G149" s="4">
        <v>8.0000000000000002E-3</v>
      </c>
      <c r="H149" s="4">
        <v>0.55200000000000005</v>
      </c>
      <c r="I149" s="4">
        <v>2.8</v>
      </c>
      <c r="J149" s="10">
        <v>16</v>
      </c>
      <c r="K149" s="4">
        <v>2.16</v>
      </c>
      <c r="L149" s="4">
        <v>3.04</v>
      </c>
      <c r="M149" s="11">
        <v>4.4000000000000004</v>
      </c>
      <c r="N149" s="4">
        <v>5.6000000000000001E-2</v>
      </c>
      <c r="O149" s="4">
        <v>0</v>
      </c>
      <c r="P149" s="4">
        <v>4.7999999999999996E-3</v>
      </c>
      <c r="Q149" s="4">
        <v>5.5999999999999999E-3</v>
      </c>
      <c r="R149" s="51">
        <v>0.08</v>
      </c>
      <c r="S149" s="4">
        <v>0.4</v>
      </c>
      <c r="T149" s="69">
        <v>34.6</v>
      </c>
      <c r="U149" s="96">
        <v>0.34599999999999997</v>
      </c>
      <c r="V149" s="84">
        <f t="shared" si="14"/>
        <v>0</v>
      </c>
    </row>
    <row r="150" spans="1:23" x14ac:dyDescent="0.2">
      <c r="B150" s="69"/>
      <c r="C150" s="65" t="s">
        <v>33</v>
      </c>
      <c r="D150" s="159">
        <v>4.8</v>
      </c>
      <c r="E150" s="6">
        <v>4</v>
      </c>
      <c r="F150" s="4">
        <v>5.1999999999999998E-2</v>
      </c>
      <c r="G150" s="4">
        <v>4.0000000000000001E-3</v>
      </c>
      <c r="H150" s="4">
        <v>0.27600000000000002</v>
      </c>
      <c r="I150" s="4">
        <v>1.4</v>
      </c>
      <c r="J150" s="10">
        <v>8</v>
      </c>
      <c r="K150" s="4">
        <v>1.08</v>
      </c>
      <c r="L150" s="4">
        <v>1.52</v>
      </c>
      <c r="M150" s="11">
        <v>2.2000000000000002</v>
      </c>
      <c r="N150" s="4">
        <v>2.8000000000000001E-2</v>
      </c>
      <c r="O150" s="4">
        <v>0</v>
      </c>
      <c r="P150" s="4">
        <v>2.3999999999999998E-3</v>
      </c>
      <c r="Q150" s="4">
        <v>2.8E-3</v>
      </c>
      <c r="R150" s="51">
        <v>0.04</v>
      </c>
      <c r="S150" s="4">
        <v>0.2</v>
      </c>
      <c r="T150" s="69">
        <v>34.229999999999997</v>
      </c>
      <c r="U150" s="96">
        <v>0.16430400000000001</v>
      </c>
      <c r="V150" s="84">
        <f t="shared" si="14"/>
        <v>0.12514500000000001</v>
      </c>
    </row>
    <row r="151" spans="1:23" x14ac:dyDescent="0.2">
      <c r="B151" s="69"/>
      <c r="C151" s="65" t="s">
        <v>55</v>
      </c>
      <c r="D151" s="159">
        <v>13.4</v>
      </c>
      <c r="E151" s="6">
        <v>12</v>
      </c>
      <c r="F151" s="4">
        <v>1.072E-2</v>
      </c>
      <c r="G151" s="4">
        <v>1.34E-2</v>
      </c>
      <c r="H151" s="4">
        <v>0.2278</v>
      </c>
      <c r="I151" s="4">
        <v>1.742</v>
      </c>
      <c r="J151" s="10">
        <v>18.899999999999999</v>
      </c>
      <c r="K151" s="4">
        <v>3.0819999999999999</v>
      </c>
      <c r="L151" s="4">
        <v>1.8759999999999999</v>
      </c>
      <c r="M151" s="11">
        <v>3.2160000000000002</v>
      </c>
      <c r="N151" s="4">
        <v>8.0399999999999999E-2</v>
      </c>
      <c r="O151" s="4">
        <v>0</v>
      </c>
      <c r="P151" s="4">
        <v>2.6800000000000001E-3</v>
      </c>
      <c r="Q151" s="4">
        <v>2.6800000000000001E-3</v>
      </c>
      <c r="R151" s="51">
        <v>1.34E-2</v>
      </c>
      <c r="S151" s="4">
        <v>0.67</v>
      </c>
      <c r="T151" s="69">
        <v>131.91999999999999</v>
      </c>
      <c r="U151" s="96">
        <v>1.767728</v>
      </c>
      <c r="V151" s="84">
        <f t="shared" si="14"/>
        <v>0.103778</v>
      </c>
    </row>
    <row r="152" spans="1:23" ht="25.5" x14ac:dyDescent="0.2">
      <c r="B152" s="69"/>
      <c r="C152" s="65" t="s">
        <v>34</v>
      </c>
      <c r="D152" s="159">
        <v>4</v>
      </c>
      <c r="E152" s="6">
        <v>4</v>
      </c>
      <c r="F152" s="4">
        <v>0</v>
      </c>
      <c r="G152" s="4">
        <v>3.996</v>
      </c>
      <c r="H152" s="4">
        <v>0</v>
      </c>
      <c r="I152" s="4">
        <v>35.96</v>
      </c>
      <c r="J152" s="10">
        <v>0</v>
      </c>
      <c r="K152" s="4">
        <v>0</v>
      </c>
      <c r="L152" s="4">
        <v>0</v>
      </c>
      <c r="M152" s="11">
        <v>0</v>
      </c>
      <c r="N152" s="4">
        <v>0</v>
      </c>
      <c r="O152" s="4">
        <v>0</v>
      </c>
      <c r="P152" s="4">
        <v>0</v>
      </c>
      <c r="Q152" s="4">
        <v>0</v>
      </c>
      <c r="R152" s="51">
        <v>0</v>
      </c>
      <c r="S152" s="4">
        <v>0</v>
      </c>
      <c r="T152" s="69">
        <v>70.400000000000006</v>
      </c>
      <c r="U152" s="96">
        <v>0.28160000000000002</v>
      </c>
      <c r="V152" s="84">
        <f t="shared" si="14"/>
        <v>0.36</v>
      </c>
    </row>
    <row r="153" spans="1:23" x14ac:dyDescent="0.2">
      <c r="B153" s="69"/>
      <c r="C153" s="65" t="s">
        <v>46</v>
      </c>
      <c r="D153" s="159">
        <v>1.6</v>
      </c>
      <c r="E153" s="6">
        <v>1.6</v>
      </c>
      <c r="F153" s="4">
        <v>0</v>
      </c>
      <c r="G153" s="4">
        <v>0</v>
      </c>
      <c r="H153" s="4">
        <v>0</v>
      </c>
      <c r="I153" s="4">
        <v>0</v>
      </c>
      <c r="J153" s="10">
        <v>0</v>
      </c>
      <c r="K153" s="4">
        <v>0</v>
      </c>
      <c r="L153" s="4">
        <v>0</v>
      </c>
      <c r="M153" s="11">
        <v>0</v>
      </c>
      <c r="N153" s="4">
        <v>0</v>
      </c>
      <c r="O153" s="4">
        <v>0</v>
      </c>
      <c r="P153" s="4">
        <v>0</v>
      </c>
      <c r="Q153" s="4">
        <v>0</v>
      </c>
      <c r="R153" s="51">
        <v>0</v>
      </c>
      <c r="S153" s="4">
        <v>0</v>
      </c>
      <c r="T153" s="69">
        <v>11.13</v>
      </c>
      <c r="U153" s="96">
        <v>1.7808000000000001E-2</v>
      </c>
      <c r="V153" s="84">
        <f t="shared" si="14"/>
        <v>0.24532500000000002</v>
      </c>
    </row>
    <row r="154" spans="1:23" s="26" customFormat="1" x14ac:dyDescent="0.2">
      <c r="B154" s="69"/>
      <c r="C154" s="65" t="s">
        <v>35</v>
      </c>
      <c r="D154" s="159">
        <v>150</v>
      </c>
      <c r="E154" s="6">
        <v>150</v>
      </c>
      <c r="F154" s="4">
        <v>0</v>
      </c>
      <c r="G154" s="4">
        <v>0</v>
      </c>
      <c r="H154" s="4">
        <v>0</v>
      </c>
      <c r="I154" s="4">
        <v>0</v>
      </c>
      <c r="J154" s="10">
        <v>0</v>
      </c>
      <c r="K154" s="4">
        <v>0</v>
      </c>
      <c r="L154" s="4">
        <v>0</v>
      </c>
      <c r="M154" s="11">
        <v>0</v>
      </c>
      <c r="N154" s="4">
        <v>0</v>
      </c>
      <c r="O154" s="4">
        <v>0</v>
      </c>
      <c r="P154" s="4">
        <v>0</v>
      </c>
      <c r="Q154" s="4">
        <v>0</v>
      </c>
      <c r="R154" s="51">
        <v>0</v>
      </c>
      <c r="S154" s="4">
        <v>0</v>
      </c>
      <c r="T154" s="69">
        <v>0</v>
      </c>
      <c r="U154" s="96">
        <v>0</v>
      </c>
      <c r="V154" s="84">
        <f t="shared" si="14"/>
        <v>5.3316000000000002E-2</v>
      </c>
    </row>
    <row r="155" spans="1:23" s="26" customFormat="1" ht="28.5" customHeight="1" x14ac:dyDescent="0.2">
      <c r="B155" s="69"/>
      <c r="C155" s="5" t="s">
        <v>47</v>
      </c>
      <c r="D155" s="159"/>
      <c r="E155" s="6"/>
      <c r="F155" s="4">
        <v>1.7787200000000001</v>
      </c>
      <c r="G155" s="4">
        <v>4.3053999999999997</v>
      </c>
      <c r="H155" s="4">
        <v>13.595800000000001</v>
      </c>
      <c r="I155" s="4">
        <v>101.462</v>
      </c>
      <c r="J155" s="10">
        <v>390.73399999999998</v>
      </c>
      <c r="K155" s="4">
        <v>13.282</v>
      </c>
      <c r="L155" s="4">
        <v>21.995999999999999</v>
      </c>
      <c r="M155" s="11">
        <v>49.216000000000001</v>
      </c>
      <c r="N155" s="4">
        <v>0.78839999999999999</v>
      </c>
      <c r="O155" s="4">
        <v>0</v>
      </c>
      <c r="P155" s="4">
        <v>8.8679999999999995E-2</v>
      </c>
      <c r="Q155" s="4">
        <v>5.6279999999999997E-2</v>
      </c>
      <c r="R155" s="51">
        <v>0.96140000000000003</v>
      </c>
      <c r="S155" s="4">
        <v>13.27</v>
      </c>
      <c r="T155" s="69"/>
      <c r="U155" s="96">
        <v>5.5555199999999996</v>
      </c>
      <c r="V155" s="84">
        <f t="shared" si="14"/>
        <v>5.6066999999999999E-2</v>
      </c>
    </row>
    <row r="156" spans="1:23" ht="25.5" x14ac:dyDescent="0.2">
      <c r="B156" s="69"/>
      <c r="C156" s="172" t="s">
        <v>93</v>
      </c>
      <c r="D156" s="167"/>
      <c r="E156" s="167">
        <v>80</v>
      </c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3"/>
      <c r="U156" s="96"/>
      <c r="V156" s="84">
        <f t="shared" si="14"/>
        <v>8.7224999999999994E-3</v>
      </c>
    </row>
    <row r="157" spans="1:23" x14ac:dyDescent="0.2">
      <c r="B157" s="70" t="s">
        <v>95</v>
      </c>
      <c r="C157" s="173" t="s">
        <v>94</v>
      </c>
      <c r="D157" s="167">
        <v>136</v>
      </c>
      <c r="E157" s="167">
        <v>56</v>
      </c>
      <c r="F157" s="84">
        <v>10.472</v>
      </c>
      <c r="G157" s="84">
        <v>9.016</v>
      </c>
      <c r="H157" s="84">
        <v>0</v>
      </c>
      <c r="I157" s="84">
        <v>123.2</v>
      </c>
      <c r="J157" s="84">
        <v>132.19999999999999</v>
      </c>
      <c r="K157" s="84">
        <v>7.84</v>
      </c>
      <c r="L157" s="84">
        <v>10.64</v>
      </c>
      <c r="M157" s="84">
        <v>89.6</v>
      </c>
      <c r="N157" s="84">
        <v>0.72799999999999998</v>
      </c>
      <c r="O157" s="84">
        <v>2.24E-2</v>
      </c>
      <c r="P157" s="84">
        <v>5.04E-2</v>
      </c>
      <c r="Q157" s="84">
        <v>8.4000000000000005E-2</v>
      </c>
      <c r="R157" s="84">
        <v>3.4159999999999999</v>
      </c>
      <c r="S157" s="84">
        <v>1.1200000000000001</v>
      </c>
      <c r="T157" s="3">
        <v>110.79</v>
      </c>
      <c r="U157" s="96">
        <v>15.06744</v>
      </c>
      <c r="V157" s="84">
        <f t="shared" si="14"/>
        <v>4.4999999999999997E-3</v>
      </c>
    </row>
    <row r="158" spans="1:23" x14ac:dyDescent="0.2">
      <c r="B158" s="70"/>
      <c r="C158" s="173" t="s">
        <v>81</v>
      </c>
      <c r="D158" s="167">
        <v>12.8</v>
      </c>
      <c r="E158" s="167">
        <v>12.8</v>
      </c>
      <c r="F158" s="84">
        <v>0.98560000000000003</v>
      </c>
      <c r="G158" s="84">
        <v>0.38400000000000001</v>
      </c>
      <c r="H158" s="84">
        <v>6.3743999999999996</v>
      </c>
      <c r="I158" s="84">
        <v>33.536000000000001</v>
      </c>
      <c r="J158" s="84">
        <v>16.3</v>
      </c>
      <c r="K158" s="84">
        <v>3.3279999999999998</v>
      </c>
      <c r="L158" s="84">
        <v>4.4800000000000004</v>
      </c>
      <c r="M158" s="84">
        <v>10.6</v>
      </c>
      <c r="N158" s="84">
        <v>0.20480000000000001</v>
      </c>
      <c r="O158" s="84">
        <v>0</v>
      </c>
      <c r="P158" s="84">
        <v>2.0480000000000002E-2</v>
      </c>
      <c r="Q158" s="84">
        <v>1.0240000000000001E-2</v>
      </c>
      <c r="R158" s="84">
        <v>0.19711999999999999</v>
      </c>
      <c r="S158" s="84">
        <v>0</v>
      </c>
      <c r="T158" s="3">
        <v>29.92</v>
      </c>
      <c r="U158" s="96">
        <v>0.38297599999999998</v>
      </c>
      <c r="V158" s="21">
        <f>V146+V147+V150+V151+V152+V153+V154+V155+V156+V157</f>
        <v>17.037973499999996</v>
      </c>
    </row>
    <row r="159" spans="1:23" x14ac:dyDescent="0.2">
      <c r="B159" s="70"/>
      <c r="C159" s="173" t="s">
        <v>87</v>
      </c>
      <c r="D159" s="167">
        <v>3.2</v>
      </c>
      <c r="E159" s="167">
        <v>3.2</v>
      </c>
      <c r="F159" s="84">
        <v>0.59840000000000004</v>
      </c>
      <c r="G159" s="84">
        <v>0.51519999999999999</v>
      </c>
      <c r="H159" s="84">
        <v>0</v>
      </c>
      <c r="I159" s="84">
        <v>7.04</v>
      </c>
      <c r="J159" s="84">
        <v>7.6</v>
      </c>
      <c r="K159" s="84">
        <v>0.44800000000000001</v>
      </c>
      <c r="L159" s="84">
        <v>0.60799999999999998</v>
      </c>
      <c r="M159" s="84">
        <v>5.12</v>
      </c>
      <c r="N159" s="84">
        <v>4.1599999999999998E-2</v>
      </c>
      <c r="O159" s="84">
        <v>1.2800000000000001E-3</v>
      </c>
      <c r="P159" s="84">
        <v>2.8800000000000002E-3</v>
      </c>
      <c r="Q159" s="84">
        <v>4.7999999999999996E-3</v>
      </c>
      <c r="R159" s="84">
        <v>0.19520000000000001</v>
      </c>
      <c r="S159" s="84">
        <v>6.4000000000000001E-2</v>
      </c>
      <c r="T159" s="3">
        <v>0</v>
      </c>
      <c r="U159" s="96">
        <v>0</v>
      </c>
      <c r="V159" s="84"/>
    </row>
    <row r="160" spans="1:23" s="67" customFormat="1" x14ac:dyDescent="0.2">
      <c r="A160" s="154"/>
      <c r="B160" s="70"/>
      <c r="C160" s="173" t="s">
        <v>88</v>
      </c>
      <c r="D160" s="167">
        <v>19.2</v>
      </c>
      <c r="E160" s="167">
        <v>19.2</v>
      </c>
      <c r="F160" s="84">
        <v>0</v>
      </c>
      <c r="G160" s="84">
        <v>0</v>
      </c>
      <c r="H160" s="84">
        <v>0</v>
      </c>
      <c r="I160" s="84">
        <v>0</v>
      </c>
      <c r="J160" s="84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0</v>
      </c>
      <c r="Q160" s="84">
        <v>0</v>
      </c>
      <c r="R160" s="84">
        <v>0</v>
      </c>
      <c r="S160" s="84">
        <v>0</v>
      </c>
      <c r="T160" s="3">
        <v>0</v>
      </c>
      <c r="U160" s="96">
        <v>0</v>
      </c>
      <c r="V160" s="84">
        <f>D177*U177/1000</f>
        <v>6.2786080000000002</v>
      </c>
      <c r="W160" s="154"/>
    </row>
    <row r="161" spans="2:22" x14ac:dyDescent="0.2">
      <c r="B161" s="70"/>
      <c r="C161" s="173" t="s">
        <v>82</v>
      </c>
      <c r="D161" s="167">
        <v>8</v>
      </c>
      <c r="E161" s="167">
        <v>8</v>
      </c>
      <c r="F161" s="84">
        <v>0.61599999999999999</v>
      </c>
      <c r="G161" s="84">
        <v>0.24</v>
      </c>
      <c r="H161" s="84">
        <v>3.984</v>
      </c>
      <c r="I161" s="84">
        <v>20.96</v>
      </c>
      <c r="J161" s="84">
        <v>10.199999999999999</v>
      </c>
      <c r="K161" s="84">
        <v>2.08</v>
      </c>
      <c r="L161" s="84">
        <v>2.8</v>
      </c>
      <c r="M161" s="84">
        <v>6.6</v>
      </c>
      <c r="N161" s="84">
        <v>0.128</v>
      </c>
      <c r="O161" s="84">
        <v>0</v>
      </c>
      <c r="P161" s="84">
        <v>1.2800000000000001E-2</v>
      </c>
      <c r="Q161" s="84">
        <v>6.4000000000000003E-3</v>
      </c>
      <c r="R161" s="84">
        <v>0.1232</v>
      </c>
      <c r="S161" s="84">
        <v>0</v>
      </c>
      <c r="T161" s="3">
        <v>29.92</v>
      </c>
      <c r="U161" s="96">
        <v>0.23935999999999999</v>
      </c>
      <c r="V161" s="84">
        <f>D178*U178/1000</f>
        <v>1.6888999999999998</v>
      </c>
    </row>
    <row r="162" spans="2:22" x14ac:dyDescent="0.2">
      <c r="B162" s="70"/>
      <c r="C162" s="173" t="s">
        <v>78</v>
      </c>
      <c r="D162" s="167">
        <v>4.8</v>
      </c>
      <c r="E162" s="167">
        <v>4.8</v>
      </c>
      <c r="F162" s="84">
        <v>0</v>
      </c>
      <c r="G162" s="84">
        <v>4.7952000000000004</v>
      </c>
      <c r="H162" s="84">
        <v>0</v>
      </c>
      <c r="I162" s="84">
        <v>43.152000000000001</v>
      </c>
      <c r="J162" s="84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0</v>
      </c>
      <c r="Q162" s="84">
        <v>0</v>
      </c>
      <c r="R162" s="84">
        <v>0</v>
      </c>
      <c r="S162" s="84">
        <v>0</v>
      </c>
      <c r="T162" s="3">
        <v>70.400000000000006</v>
      </c>
      <c r="U162" s="96">
        <v>0.33792</v>
      </c>
      <c r="V162" s="84">
        <f>D179*U179/1000</f>
        <v>0.98010800000000009</v>
      </c>
    </row>
    <row r="163" spans="2:22" x14ac:dyDescent="0.2">
      <c r="B163" s="70"/>
      <c r="C163" s="173" t="s">
        <v>46</v>
      </c>
      <c r="D163" s="167">
        <v>2.4</v>
      </c>
      <c r="E163" s="167">
        <v>2.4</v>
      </c>
      <c r="F163" s="84">
        <v>0</v>
      </c>
      <c r="G163" s="84">
        <v>0</v>
      </c>
      <c r="H163" s="84">
        <v>0</v>
      </c>
      <c r="I163" s="84">
        <v>0</v>
      </c>
      <c r="J163" s="84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0</v>
      </c>
      <c r="Q163" s="84">
        <v>0</v>
      </c>
      <c r="R163" s="84">
        <v>0</v>
      </c>
      <c r="S163" s="84">
        <v>0</v>
      </c>
      <c r="T163" s="3">
        <v>11.13</v>
      </c>
      <c r="U163" s="96">
        <v>2.6712E-2</v>
      </c>
      <c r="V163" s="84">
        <f>D180*U180/1000</f>
        <v>2.0934000000000001E-2</v>
      </c>
    </row>
    <row r="164" spans="2:22" x14ac:dyDescent="0.2">
      <c r="B164" s="70"/>
      <c r="C164" s="173" t="s">
        <v>77</v>
      </c>
      <c r="D164" s="167"/>
      <c r="E164" s="167"/>
      <c r="F164" s="84">
        <v>12.672000000000001</v>
      </c>
      <c r="G164" s="84">
        <v>14.9504</v>
      </c>
      <c r="H164" s="84">
        <v>10.3584</v>
      </c>
      <c r="I164" s="84">
        <v>227.88800000000001</v>
      </c>
      <c r="J164" s="84">
        <v>166.12799999999999</v>
      </c>
      <c r="K164" s="84">
        <v>13.696</v>
      </c>
      <c r="L164" s="84">
        <v>18.527999999999999</v>
      </c>
      <c r="M164" s="84">
        <v>111.98399999999999</v>
      </c>
      <c r="N164" s="84">
        <v>1.1024</v>
      </c>
      <c r="O164" s="84">
        <v>2.368E-2</v>
      </c>
      <c r="P164" s="84">
        <v>8.6559999999999998E-2</v>
      </c>
      <c r="Q164" s="84">
        <v>0.10544000000000001</v>
      </c>
      <c r="R164" s="84">
        <v>3.9315199999999999</v>
      </c>
      <c r="S164" s="84">
        <v>1.1839999999999999</v>
      </c>
      <c r="T164" s="3"/>
      <c r="U164" s="96">
        <v>16.054407999999999</v>
      </c>
      <c r="V164" s="21">
        <f>SUM(V160:V163)</f>
        <v>8.9685500000000005</v>
      </c>
    </row>
    <row r="165" spans="2:22" x14ac:dyDescent="0.2">
      <c r="B165" s="70"/>
      <c r="C165" s="71" t="s">
        <v>99</v>
      </c>
      <c r="D165" s="34"/>
      <c r="E165" s="79">
        <v>75</v>
      </c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69">
        <v>35.71</v>
      </c>
      <c r="U165" s="92"/>
      <c r="V165" s="84"/>
    </row>
    <row r="166" spans="2:22" x14ac:dyDescent="0.2">
      <c r="B166" s="136" t="s">
        <v>98</v>
      </c>
      <c r="C166" s="30" t="s">
        <v>100</v>
      </c>
      <c r="D166" s="34">
        <v>75</v>
      </c>
      <c r="E166" s="34">
        <v>75</v>
      </c>
      <c r="F166" s="69">
        <v>0</v>
      </c>
      <c r="G166" s="69">
        <v>0</v>
      </c>
      <c r="H166" s="69">
        <v>0</v>
      </c>
      <c r="I166" s="69">
        <v>0</v>
      </c>
      <c r="J166" s="69">
        <v>0</v>
      </c>
      <c r="K166" s="69">
        <v>0</v>
      </c>
      <c r="L166" s="69">
        <v>0</v>
      </c>
      <c r="M166" s="69">
        <v>0</v>
      </c>
      <c r="N166" s="69">
        <v>0</v>
      </c>
      <c r="O166" s="69">
        <v>0</v>
      </c>
      <c r="P166" s="69">
        <v>0</v>
      </c>
      <c r="Q166" s="69">
        <v>0</v>
      </c>
      <c r="R166" s="69">
        <v>0</v>
      </c>
      <c r="S166" s="69">
        <v>0</v>
      </c>
      <c r="T166" s="69">
        <v>23.05</v>
      </c>
      <c r="U166" s="92">
        <v>0</v>
      </c>
      <c r="V166" s="84">
        <f>1*U183/1000</f>
        <v>0.53916999999999993</v>
      </c>
    </row>
    <row r="167" spans="2:22" ht="25.5" x14ac:dyDescent="0.2">
      <c r="B167" s="136"/>
      <c r="C167" s="30" t="s">
        <v>34</v>
      </c>
      <c r="D167" s="34">
        <v>1.5</v>
      </c>
      <c r="E167" s="34">
        <v>1.5</v>
      </c>
      <c r="F167" s="69">
        <v>0</v>
      </c>
      <c r="G167" s="69">
        <f>99.9*E167/100</f>
        <v>1.4985000000000002</v>
      </c>
      <c r="H167" s="69">
        <v>0</v>
      </c>
      <c r="I167" s="69">
        <f>899*E167/100</f>
        <v>13.484999999999999</v>
      </c>
      <c r="J167" s="85">
        <v>0</v>
      </c>
      <c r="K167" s="69">
        <v>0</v>
      </c>
      <c r="L167" s="69">
        <v>0</v>
      </c>
      <c r="M167" s="85">
        <v>0</v>
      </c>
      <c r="N167" s="69">
        <v>0</v>
      </c>
      <c r="O167" s="69">
        <v>0</v>
      </c>
      <c r="P167" s="69">
        <v>0</v>
      </c>
      <c r="Q167" s="69">
        <v>0</v>
      </c>
      <c r="R167" s="69">
        <v>0</v>
      </c>
      <c r="S167" s="69">
        <v>0</v>
      </c>
      <c r="T167" s="69">
        <v>297.44</v>
      </c>
      <c r="U167" s="92">
        <v>83.43</v>
      </c>
      <c r="V167" s="84">
        <f>D184*U184/1000</f>
        <v>0.76454999999999995</v>
      </c>
    </row>
    <row r="168" spans="2:22" x14ac:dyDescent="0.2">
      <c r="B168" s="136"/>
      <c r="C168" s="30" t="s">
        <v>38</v>
      </c>
      <c r="D168" s="34">
        <v>3.8</v>
      </c>
      <c r="E168" s="34">
        <v>3.8</v>
      </c>
      <c r="F168" s="69">
        <f>10.3*E168/100</f>
        <v>0.39140000000000003</v>
      </c>
      <c r="G168" s="69">
        <f>1.1*E168/100</f>
        <v>4.1799999999999997E-2</v>
      </c>
      <c r="H168" s="69">
        <f>69*E168/100</f>
        <v>2.6219999999999999</v>
      </c>
      <c r="I168" s="69">
        <f>334*E168/100</f>
        <v>12.692</v>
      </c>
      <c r="J168" s="85">
        <f>176*E168/100</f>
        <v>6.6879999999999997</v>
      </c>
      <c r="K168" s="69">
        <f>24*E168/100</f>
        <v>0.91199999999999992</v>
      </c>
      <c r="L168" s="69">
        <f>44*E168/100</f>
        <v>1.6719999999999999</v>
      </c>
      <c r="M168" s="85">
        <f>115*E168/100</f>
        <v>4.37</v>
      </c>
      <c r="N168" s="69">
        <f>2.1*E168/100</f>
        <v>7.9799999999999996E-2</v>
      </c>
      <c r="O168" s="69">
        <v>0</v>
      </c>
      <c r="P168" s="69">
        <v>0</v>
      </c>
      <c r="Q168" s="69">
        <v>0</v>
      </c>
      <c r="R168" s="69">
        <v>0</v>
      </c>
      <c r="S168" s="69">
        <v>0</v>
      </c>
      <c r="T168" s="69">
        <v>29.98</v>
      </c>
      <c r="U168" s="92">
        <v>27.31</v>
      </c>
      <c r="V168" s="84">
        <f>D185*U185/1000</f>
        <v>0</v>
      </c>
    </row>
    <row r="169" spans="2:22" x14ac:dyDescent="0.2">
      <c r="B169" s="136"/>
      <c r="C169" s="30" t="s">
        <v>36</v>
      </c>
      <c r="D169" s="34">
        <v>3</v>
      </c>
      <c r="E169" s="34">
        <v>3</v>
      </c>
      <c r="F169" s="34">
        <f>4.8*E169/100</f>
        <v>0.14399999999999999</v>
      </c>
      <c r="G169" s="34">
        <v>0</v>
      </c>
      <c r="H169" s="34">
        <f>19*E169/100</f>
        <v>0.56999999999999995</v>
      </c>
      <c r="I169" s="34">
        <f>102*E169/100</f>
        <v>3.06</v>
      </c>
      <c r="J169" s="34">
        <f>875*E169/100</f>
        <v>26.25</v>
      </c>
      <c r="K169" s="34">
        <f>20*E169/100</f>
        <v>0.6</v>
      </c>
      <c r="L169" s="34">
        <f>50*E169/100</f>
        <v>1.5</v>
      </c>
      <c r="M169" s="34">
        <f>68*E169/100</f>
        <v>2.04</v>
      </c>
      <c r="N169" s="34">
        <f>2.3*E169/100</f>
        <v>6.8999999999999992E-2</v>
      </c>
      <c r="O169" s="34">
        <v>0</v>
      </c>
      <c r="P169" s="34">
        <v>0</v>
      </c>
      <c r="Q169" s="34">
        <v>0</v>
      </c>
      <c r="R169" s="34">
        <v>0</v>
      </c>
      <c r="S169" s="34">
        <f>45*E169/100</f>
        <v>1.35</v>
      </c>
      <c r="T169" s="69">
        <v>11.03</v>
      </c>
      <c r="U169" s="92">
        <v>120</v>
      </c>
      <c r="V169" s="21">
        <f>SUM(V166:V168)</f>
        <v>1.3037199999999998</v>
      </c>
    </row>
    <row r="170" spans="2:22" x14ac:dyDescent="0.2">
      <c r="B170" s="136"/>
      <c r="C170" s="30" t="s">
        <v>32</v>
      </c>
      <c r="D170" s="34">
        <v>7.5</v>
      </c>
      <c r="E170" s="34">
        <v>6</v>
      </c>
      <c r="F170" s="34">
        <f>1.3*E170/100</f>
        <v>7.8000000000000014E-2</v>
      </c>
      <c r="G170" s="34">
        <v>0</v>
      </c>
      <c r="H170" s="34">
        <f>6.9*E170/100</f>
        <v>0.41400000000000003</v>
      </c>
      <c r="I170" s="34">
        <f>35*E170/100</f>
        <v>2.1</v>
      </c>
      <c r="J170" s="34">
        <f>200*E170/100</f>
        <v>12</v>
      </c>
      <c r="K170" s="34">
        <f>27*E170/100</f>
        <v>1.62</v>
      </c>
      <c r="L170" s="34">
        <f>38*E170/100</f>
        <v>2.2799999999999998</v>
      </c>
      <c r="M170" s="34">
        <f>55*E170/100</f>
        <v>3.3</v>
      </c>
      <c r="N170" s="34">
        <v>0</v>
      </c>
      <c r="O170" s="34">
        <v>0</v>
      </c>
      <c r="P170" s="34">
        <v>0</v>
      </c>
      <c r="Q170" s="34">
        <v>0</v>
      </c>
      <c r="R170" s="34">
        <f>1*E170/100</f>
        <v>0.06</v>
      </c>
      <c r="S170" s="34">
        <f>5*E170/100</f>
        <v>0.3</v>
      </c>
      <c r="T170" s="69"/>
      <c r="U170" s="92">
        <v>32.71</v>
      </c>
      <c r="V170" s="84">
        <f>E187*U187/1000</f>
        <v>0.95969999999999989</v>
      </c>
    </row>
    <row r="171" spans="2:22" x14ac:dyDescent="0.2">
      <c r="B171" s="136"/>
      <c r="C171" s="30" t="s">
        <v>33</v>
      </c>
      <c r="D171" s="159">
        <v>1.8</v>
      </c>
      <c r="E171" s="160">
        <v>1.5</v>
      </c>
      <c r="F171" s="69">
        <f>1.4*E171/100</f>
        <v>2.0999999999999998E-2</v>
      </c>
      <c r="G171" s="157">
        <v>0</v>
      </c>
      <c r="H171" s="157">
        <f>8.2*E171/100</f>
        <v>0.12299999999999998</v>
      </c>
      <c r="I171" s="157">
        <f>41*E171/100</f>
        <v>0.61499999999999999</v>
      </c>
      <c r="J171" s="158">
        <f>175*E171/100</f>
        <v>2.625</v>
      </c>
      <c r="K171" s="157">
        <f>31*E171/100</f>
        <v>0.46500000000000002</v>
      </c>
      <c r="L171" s="157">
        <f>14*E171/100</f>
        <v>0.21</v>
      </c>
      <c r="M171" s="158">
        <f>58*E171/100</f>
        <v>0.87</v>
      </c>
      <c r="N171" s="157">
        <v>0</v>
      </c>
      <c r="O171" s="157">
        <v>0</v>
      </c>
      <c r="P171" s="157">
        <v>0</v>
      </c>
      <c r="Q171" s="157">
        <v>0</v>
      </c>
      <c r="R171" s="157">
        <v>0</v>
      </c>
      <c r="S171" s="157">
        <f>10*E171/100</f>
        <v>0.15</v>
      </c>
      <c r="T171" s="69"/>
      <c r="U171" s="92">
        <v>29.62</v>
      </c>
      <c r="V171" s="84"/>
    </row>
    <row r="172" spans="2:22" x14ac:dyDescent="0.2">
      <c r="B172" s="136"/>
      <c r="C172" s="30" t="s">
        <v>30</v>
      </c>
      <c r="D172" s="69">
        <v>1.1000000000000001</v>
      </c>
      <c r="E172" s="69">
        <v>1.1000000000000001</v>
      </c>
      <c r="F172" s="84">
        <v>0</v>
      </c>
      <c r="G172" s="84">
        <v>0</v>
      </c>
      <c r="H172" s="84">
        <f>99.8*E172/100</f>
        <v>1.0978000000000001</v>
      </c>
      <c r="I172" s="84">
        <f>379*E172/100</f>
        <v>4.1690000000000005</v>
      </c>
      <c r="J172" s="84">
        <f>3*E172/100</f>
        <v>3.3000000000000002E-2</v>
      </c>
      <c r="K172" s="84">
        <f>2*E172/100</f>
        <v>2.2000000000000002E-2</v>
      </c>
      <c r="L172" s="84">
        <v>0</v>
      </c>
      <c r="M172" s="84">
        <v>0</v>
      </c>
      <c r="N172" s="84">
        <v>0</v>
      </c>
      <c r="O172" s="84">
        <v>0</v>
      </c>
      <c r="P172" s="84">
        <v>0</v>
      </c>
      <c r="Q172" s="84">
        <v>0</v>
      </c>
      <c r="R172" s="84">
        <v>0</v>
      </c>
      <c r="S172" s="84">
        <v>0</v>
      </c>
      <c r="T172" s="69">
        <v>0</v>
      </c>
      <c r="U172" s="92">
        <v>50.97</v>
      </c>
      <c r="V172" s="21">
        <v>31.86</v>
      </c>
    </row>
    <row r="173" spans="2:22" x14ac:dyDescent="0.2">
      <c r="B173" s="136"/>
      <c r="C173" s="30" t="s">
        <v>46</v>
      </c>
      <c r="D173" s="69">
        <v>0.75</v>
      </c>
      <c r="E173" s="69">
        <v>0.75</v>
      </c>
      <c r="F173" s="69">
        <v>0</v>
      </c>
      <c r="G173" s="69">
        <v>0</v>
      </c>
      <c r="H173" s="69">
        <v>0</v>
      </c>
      <c r="I173" s="69">
        <v>0</v>
      </c>
      <c r="J173" s="84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0</v>
      </c>
      <c r="Q173" s="84">
        <v>0</v>
      </c>
      <c r="R173" s="84">
        <v>0</v>
      </c>
      <c r="S173" s="84">
        <v>0</v>
      </c>
      <c r="T173" s="69">
        <v>71.02</v>
      </c>
      <c r="U173" s="92">
        <v>11.63</v>
      </c>
      <c r="V173" s="84"/>
    </row>
    <row r="174" spans="2:22" ht="24.75" customHeight="1" x14ac:dyDescent="0.2">
      <c r="B174" s="136"/>
      <c r="C174" s="76" t="s">
        <v>39</v>
      </c>
      <c r="D174" s="69">
        <v>1.4999999999999999E-2</v>
      </c>
      <c r="E174" s="69">
        <v>1.4999999999999999E-2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  <c r="O174" s="69">
        <v>0</v>
      </c>
      <c r="P174" s="69">
        <v>0</v>
      </c>
      <c r="Q174" s="69">
        <v>0</v>
      </c>
      <c r="R174" s="69">
        <v>0</v>
      </c>
      <c r="S174" s="69">
        <v>0</v>
      </c>
      <c r="T174" s="69">
        <v>24.11</v>
      </c>
      <c r="U174" s="92">
        <v>300</v>
      </c>
      <c r="V174" s="84"/>
    </row>
    <row r="175" spans="2:22" x14ac:dyDescent="0.2">
      <c r="B175" s="136"/>
      <c r="C175" s="71" t="s">
        <v>77</v>
      </c>
      <c r="D175" s="69"/>
      <c r="E175" s="69"/>
      <c r="F175" s="3">
        <f>SUM(F166:F174)+F163+F164</f>
        <v>13.3064</v>
      </c>
      <c r="G175" s="3">
        <f t="shared" ref="G175:S175" si="15">SUM(G166:G174)+G163+G164</f>
        <v>16.4907</v>
      </c>
      <c r="H175" s="3">
        <f t="shared" si="15"/>
        <v>15.185199999999998</v>
      </c>
      <c r="I175" s="3">
        <f t="shared" si="15"/>
        <v>264.00900000000001</v>
      </c>
      <c r="J175" s="3">
        <f t="shared" si="15"/>
        <v>213.72399999999999</v>
      </c>
      <c r="K175" s="3">
        <f t="shared" si="15"/>
        <v>17.314999999999998</v>
      </c>
      <c r="L175" s="3">
        <f t="shared" si="15"/>
        <v>24.189999999999998</v>
      </c>
      <c r="M175" s="3">
        <f t="shared" si="15"/>
        <v>122.56399999999999</v>
      </c>
      <c r="N175" s="3">
        <f t="shared" si="15"/>
        <v>1.2512000000000001</v>
      </c>
      <c r="O175" s="3">
        <f t="shared" si="15"/>
        <v>2.368E-2</v>
      </c>
      <c r="P175" s="3">
        <f t="shared" si="15"/>
        <v>8.6559999999999998E-2</v>
      </c>
      <c r="Q175" s="3">
        <f t="shared" si="15"/>
        <v>0.10544000000000001</v>
      </c>
      <c r="R175" s="3">
        <f t="shared" si="15"/>
        <v>3.99152</v>
      </c>
      <c r="S175" s="3">
        <f t="shared" si="15"/>
        <v>2.984</v>
      </c>
      <c r="T175" s="69">
        <v>160.44999999999999</v>
      </c>
      <c r="U175" s="92"/>
      <c r="V175" s="84"/>
    </row>
    <row r="176" spans="2:22" x14ac:dyDescent="0.2">
      <c r="B176" s="136"/>
      <c r="C176" s="6" t="s">
        <v>58</v>
      </c>
      <c r="D176" s="69"/>
      <c r="E176" s="3">
        <v>150</v>
      </c>
      <c r="F176" s="3"/>
      <c r="G176" s="3"/>
      <c r="H176" s="3"/>
      <c r="I176" s="3"/>
      <c r="J176" s="3"/>
      <c r="K176" s="32"/>
      <c r="L176" s="7"/>
      <c r="M176" s="7"/>
      <c r="N176" s="3"/>
      <c r="O176" s="3"/>
      <c r="P176" s="3"/>
      <c r="Q176" s="3"/>
      <c r="R176" s="3"/>
      <c r="S176" s="32"/>
      <c r="T176" s="69"/>
      <c r="U176" s="96"/>
      <c r="V176" s="96">
        <v>1.7250000000000001</v>
      </c>
    </row>
    <row r="177" spans="2:22" x14ac:dyDescent="0.2">
      <c r="B177" s="69" t="s">
        <v>57</v>
      </c>
      <c r="C177" s="156" t="s">
        <v>31</v>
      </c>
      <c r="D177" s="84">
        <v>170.8</v>
      </c>
      <c r="E177" s="84">
        <v>128.30000000000001</v>
      </c>
      <c r="F177" s="69">
        <f>2*E177/100</f>
        <v>2.5660000000000003</v>
      </c>
      <c r="G177" s="69">
        <f>0.4*E177/100</f>
        <v>0.5132000000000001</v>
      </c>
      <c r="H177" s="69">
        <f>16.3*E177/100</f>
        <v>20.912900000000004</v>
      </c>
      <c r="I177" s="69">
        <f>77*E177/100</f>
        <v>98.790999999999997</v>
      </c>
      <c r="J177" s="69">
        <f>568*E177/100</f>
        <v>728.74400000000014</v>
      </c>
      <c r="K177" s="69">
        <f>10*E177/100</f>
        <v>12.83</v>
      </c>
      <c r="L177" s="69">
        <f>23*E177/100</f>
        <v>29.509</v>
      </c>
      <c r="M177" s="69">
        <f>58*E177/100</f>
        <v>74.414000000000001</v>
      </c>
      <c r="N177" s="69">
        <f>0.9*E177/100</f>
        <v>1.1547000000000001</v>
      </c>
      <c r="O177" s="69">
        <v>0</v>
      </c>
      <c r="P177" s="69">
        <f>0.12*E177/100</f>
        <v>0.15396000000000001</v>
      </c>
      <c r="Q177" s="69">
        <f>0.07*E177/100</f>
        <v>8.9810000000000015E-2</v>
      </c>
      <c r="R177" s="69">
        <f>1.3*E177/100</f>
        <v>1.6679000000000002</v>
      </c>
      <c r="S177" s="69">
        <f>20*E177/100</f>
        <v>25.66</v>
      </c>
      <c r="T177" s="69"/>
      <c r="U177" s="96">
        <v>36.76</v>
      </c>
      <c r="V177" s="96">
        <v>1.14432</v>
      </c>
    </row>
    <row r="178" spans="2:22" x14ac:dyDescent="0.2">
      <c r="B178" s="69"/>
      <c r="C178" s="156" t="s">
        <v>37</v>
      </c>
      <c r="D178" s="84">
        <v>5</v>
      </c>
      <c r="E178" s="84">
        <v>5</v>
      </c>
      <c r="F178" s="69">
        <f>0.8*E178/100</f>
        <v>0.04</v>
      </c>
      <c r="G178" s="69">
        <f>72.5*E178/100</f>
        <v>3.625</v>
      </c>
      <c r="H178" s="69">
        <f>1.3*E178/100</f>
        <v>6.5000000000000002E-2</v>
      </c>
      <c r="I178" s="69">
        <f>661*E178/100</f>
        <v>33.049999999999997</v>
      </c>
      <c r="J178" s="86">
        <f>23*E178/100</f>
        <v>1.1499999999999999</v>
      </c>
      <c r="K178" s="69">
        <f>22*E178/100</f>
        <v>1.1000000000000001</v>
      </c>
      <c r="L178" s="69">
        <f>3*E178/100</f>
        <v>0.15</v>
      </c>
      <c r="M178" s="85">
        <f>19*E178/100</f>
        <v>0.95</v>
      </c>
      <c r="N178" s="69">
        <f>0.2*E178/100</f>
        <v>0.01</v>
      </c>
      <c r="O178" s="69">
        <f>0.5*E178/100</f>
        <v>2.5000000000000001E-2</v>
      </c>
      <c r="P178" s="69">
        <f>0</f>
        <v>0</v>
      </c>
      <c r="Q178" s="96">
        <f>0.01*E178/1000</f>
        <v>5.0000000000000002E-5</v>
      </c>
      <c r="R178" s="69">
        <f>0.1*E178/100</f>
        <v>5.0000000000000001E-3</v>
      </c>
      <c r="S178" s="69">
        <f>0</f>
        <v>0</v>
      </c>
      <c r="T178" s="69"/>
      <c r="U178" s="96">
        <v>337.78</v>
      </c>
      <c r="V178" s="96">
        <v>0.34599999999999997</v>
      </c>
    </row>
    <row r="179" spans="2:22" x14ac:dyDescent="0.2">
      <c r="B179" s="69"/>
      <c r="C179" s="156" t="s">
        <v>29</v>
      </c>
      <c r="D179" s="84">
        <v>23.6</v>
      </c>
      <c r="E179" s="84">
        <v>22.5</v>
      </c>
      <c r="F179" s="34">
        <f>2.8*D179/100</f>
        <v>0.66079999999999994</v>
      </c>
      <c r="G179" s="34">
        <f>3.2*D179/100</f>
        <v>0.75520000000000009</v>
      </c>
      <c r="H179" s="34">
        <f>4.7*D179/100</f>
        <v>1.1092000000000002</v>
      </c>
      <c r="I179" s="34">
        <f>5.8*D179/100</f>
        <v>1.3688</v>
      </c>
      <c r="J179" s="34">
        <f>146*D179/100</f>
        <v>34.456000000000003</v>
      </c>
      <c r="K179" s="34">
        <f>120*D179/100</f>
        <v>28.32</v>
      </c>
      <c r="L179" s="34">
        <f>114*D179/100</f>
        <v>26.904</v>
      </c>
      <c r="M179" s="34">
        <f>0.1*D179/100</f>
        <v>2.3600000000000003E-2</v>
      </c>
      <c r="N179" s="34">
        <f>0.1*D179/100</f>
        <v>2.3600000000000003E-2</v>
      </c>
      <c r="O179" s="34">
        <f>0.02*D179/100</f>
        <v>4.7200000000000002E-3</v>
      </c>
      <c r="P179" s="34">
        <f>0.04*D179/100</f>
        <v>9.4400000000000005E-3</v>
      </c>
      <c r="Q179" s="34">
        <f>0.15*D179/100</f>
        <v>3.5400000000000001E-2</v>
      </c>
      <c r="R179" s="34">
        <f>0.1*D179/100</f>
        <v>2.3600000000000003E-2</v>
      </c>
      <c r="S179" s="34">
        <f>1.3*D179/100</f>
        <v>0.30680000000000002</v>
      </c>
      <c r="T179" s="69"/>
      <c r="U179" s="96">
        <v>41.53</v>
      </c>
      <c r="V179" s="96">
        <v>0.32860800000000001</v>
      </c>
    </row>
    <row r="180" spans="2:22" x14ac:dyDescent="0.2">
      <c r="B180" s="69"/>
      <c r="C180" s="156" t="s">
        <v>46</v>
      </c>
      <c r="D180" s="84">
        <v>1.8</v>
      </c>
      <c r="E180" s="84">
        <v>1.8</v>
      </c>
      <c r="F180" s="69">
        <v>0</v>
      </c>
      <c r="G180" s="69">
        <v>0</v>
      </c>
      <c r="H180" s="69">
        <v>0</v>
      </c>
      <c r="I180" s="69">
        <v>0</v>
      </c>
      <c r="J180" s="69">
        <v>0</v>
      </c>
      <c r="K180" s="69">
        <v>0</v>
      </c>
      <c r="L180" s="69">
        <v>0</v>
      </c>
      <c r="M180" s="69">
        <v>0</v>
      </c>
      <c r="N180" s="69">
        <v>0</v>
      </c>
      <c r="O180" s="69">
        <v>0</v>
      </c>
      <c r="P180" s="69">
        <v>0</v>
      </c>
      <c r="Q180" s="69">
        <v>0</v>
      </c>
      <c r="R180" s="69">
        <v>0</v>
      </c>
      <c r="S180" s="69">
        <v>0</v>
      </c>
      <c r="T180" s="69"/>
      <c r="U180" s="96">
        <v>11.63</v>
      </c>
      <c r="V180" s="96">
        <v>0.105918</v>
      </c>
    </row>
    <row r="181" spans="2:22" x14ac:dyDescent="0.2">
      <c r="B181" s="69"/>
      <c r="C181" s="39" t="s">
        <v>47</v>
      </c>
      <c r="D181" s="3"/>
      <c r="E181" s="3"/>
      <c r="F181" s="3">
        <f>SUM(F177:F180)</f>
        <v>3.2668000000000004</v>
      </c>
      <c r="G181" s="3">
        <f>SUM(G177:G180)</f>
        <v>4.8934000000000006</v>
      </c>
      <c r="H181" s="3">
        <f t="shared" ref="H181:S181" si="16">SUM(H177:H180)</f>
        <v>22.087100000000007</v>
      </c>
      <c r="I181" s="3">
        <f t="shared" si="16"/>
        <v>133.2098</v>
      </c>
      <c r="J181" s="3">
        <f t="shared" si="16"/>
        <v>764.35000000000014</v>
      </c>
      <c r="K181" s="3">
        <f t="shared" si="16"/>
        <v>42.25</v>
      </c>
      <c r="L181" s="3">
        <f t="shared" si="16"/>
        <v>56.563000000000002</v>
      </c>
      <c r="M181" s="3">
        <f t="shared" si="16"/>
        <v>75.387600000000006</v>
      </c>
      <c r="N181" s="3">
        <f t="shared" si="16"/>
        <v>1.1883000000000001</v>
      </c>
      <c r="O181" s="3">
        <f t="shared" si="16"/>
        <v>2.9720000000000003E-2</v>
      </c>
      <c r="P181" s="3">
        <f t="shared" si="16"/>
        <v>0.16340000000000002</v>
      </c>
      <c r="Q181" s="3">
        <f t="shared" si="16"/>
        <v>0.12526000000000001</v>
      </c>
      <c r="R181" s="3">
        <f t="shared" si="16"/>
        <v>1.6965000000000001</v>
      </c>
      <c r="S181" s="3">
        <f t="shared" si="16"/>
        <v>25.966799999999999</v>
      </c>
      <c r="T181" s="69"/>
      <c r="U181" s="96"/>
      <c r="V181" s="96">
        <v>0.28160000000000002</v>
      </c>
    </row>
    <row r="182" spans="2:22" x14ac:dyDescent="0.2">
      <c r="B182" s="69"/>
      <c r="C182" s="5" t="s">
        <v>74</v>
      </c>
      <c r="D182" s="313" t="s">
        <v>75</v>
      </c>
      <c r="E182" s="31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50"/>
      <c r="S182" s="3"/>
      <c r="T182" s="69"/>
      <c r="U182" s="96"/>
      <c r="V182" s="96">
        <v>2.2259999999999999E-2</v>
      </c>
    </row>
    <row r="183" spans="2:22" x14ac:dyDescent="0.2">
      <c r="B183" s="69" t="s">
        <v>73</v>
      </c>
      <c r="C183" s="65" t="s">
        <v>40</v>
      </c>
      <c r="D183" s="159">
        <v>50</v>
      </c>
      <c r="E183" s="159">
        <v>50</v>
      </c>
      <c r="F183" s="69">
        <v>0.1</v>
      </c>
      <c r="G183" s="69">
        <v>0</v>
      </c>
      <c r="H183" s="69">
        <v>0</v>
      </c>
      <c r="I183" s="69">
        <v>0.8</v>
      </c>
      <c r="J183" s="85">
        <v>12.4</v>
      </c>
      <c r="K183" s="69">
        <v>2.5</v>
      </c>
      <c r="L183" s="69">
        <v>2.2000000000000002</v>
      </c>
      <c r="M183" s="85">
        <v>4.12</v>
      </c>
      <c r="N183" s="69">
        <v>0.4</v>
      </c>
      <c r="O183" s="69">
        <v>0</v>
      </c>
      <c r="P183" s="69">
        <v>0</v>
      </c>
      <c r="Q183" s="69">
        <v>0</v>
      </c>
      <c r="R183" s="70">
        <v>0</v>
      </c>
      <c r="S183" s="69">
        <v>0</v>
      </c>
      <c r="T183" s="69"/>
      <c r="U183" s="96">
        <v>539.16999999999996</v>
      </c>
      <c r="V183" s="32">
        <v>2.3999999999999998E-3</v>
      </c>
    </row>
    <row r="184" spans="2:22" x14ac:dyDescent="0.2">
      <c r="B184" s="69"/>
      <c r="C184" s="65" t="s">
        <v>30</v>
      </c>
      <c r="D184" s="159">
        <v>15</v>
      </c>
      <c r="E184" s="159">
        <v>15</v>
      </c>
      <c r="F184" s="69">
        <v>0</v>
      </c>
      <c r="G184" s="69">
        <v>0</v>
      </c>
      <c r="H184" s="69">
        <v>15</v>
      </c>
      <c r="I184" s="69">
        <v>56.9</v>
      </c>
      <c r="J184" s="85">
        <v>0.5</v>
      </c>
      <c r="K184" s="69">
        <v>0.4</v>
      </c>
      <c r="L184" s="69">
        <v>0</v>
      </c>
      <c r="M184" s="85">
        <v>0</v>
      </c>
      <c r="N184" s="69">
        <v>0</v>
      </c>
      <c r="O184" s="69">
        <v>0</v>
      </c>
      <c r="P184" s="69">
        <v>0</v>
      </c>
      <c r="Q184" s="69">
        <v>0</v>
      </c>
      <c r="R184" s="70">
        <v>0</v>
      </c>
      <c r="S184" s="69">
        <v>0</v>
      </c>
      <c r="T184" s="69"/>
      <c r="U184" s="96">
        <v>50.97</v>
      </c>
      <c r="V184" s="32">
        <v>0</v>
      </c>
    </row>
    <row r="185" spans="2:22" x14ac:dyDescent="0.2">
      <c r="B185" s="69"/>
      <c r="C185" s="65" t="s">
        <v>35</v>
      </c>
      <c r="D185" s="159">
        <v>150</v>
      </c>
      <c r="E185" s="159">
        <v>150</v>
      </c>
      <c r="F185" s="69">
        <v>0</v>
      </c>
      <c r="G185" s="69">
        <v>0</v>
      </c>
      <c r="H185" s="69">
        <v>0</v>
      </c>
      <c r="I185" s="69">
        <v>0</v>
      </c>
      <c r="J185" s="69">
        <v>0</v>
      </c>
      <c r="K185" s="69">
        <v>0</v>
      </c>
      <c r="L185" s="69">
        <v>0</v>
      </c>
      <c r="M185" s="69">
        <v>0</v>
      </c>
      <c r="N185" s="69">
        <v>0</v>
      </c>
      <c r="O185" s="69">
        <v>0</v>
      </c>
      <c r="P185" s="69">
        <v>0</v>
      </c>
      <c r="Q185" s="69">
        <v>0</v>
      </c>
      <c r="R185" s="70">
        <v>0</v>
      </c>
      <c r="S185" s="69">
        <v>0</v>
      </c>
      <c r="T185" s="69"/>
      <c r="U185" s="96">
        <v>0</v>
      </c>
      <c r="V185" s="96">
        <v>3.9561060000000001</v>
      </c>
    </row>
    <row r="186" spans="2:22" x14ac:dyDescent="0.2">
      <c r="B186" s="69"/>
      <c r="C186" s="39" t="s">
        <v>47</v>
      </c>
      <c r="D186" s="130"/>
      <c r="E186" s="130"/>
      <c r="F186" s="3">
        <v>0.1</v>
      </c>
      <c r="G186" s="3">
        <v>0</v>
      </c>
      <c r="H186" s="3">
        <v>15</v>
      </c>
      <c r="I186" s="3">
        <v>57.7</v>
      </c>
      <c r="J186" s="3">
        <v>12.9</v>
      </c>
      <c r="K186" s="3">
        <v>2.9</v>
      </c>
      <c r="L186" s="3">
        <v>2.2000000000000002</v>
      </c>
      <c r="M186" s="3">
        <v>4.12</v>
      </c>
      <c r="N186" s="3">
        <v>0.4</v>
      </c>
      <c r="O186" s="3">
        <v>0</v>
      </c>
      <c r="P186" s="3">
        <v>0</v>
      </c>
      <c r="Q186" s="3">
        <v>0</v>
      </c>
      <c r="R186" s="3">
        <v>0</v>
      </c>
      <c r="S186" s="26">
        <v>0</v>
      </c>
      <c r="T186" s="3"/>
      <c r="U186" s="32"/>
      <c r="V186" s="3"/>
    </row>
    <row r="187" spans="2:22" s="26" customFormat="1" ht="25.5" x14ac:dyDescent="0.2">
      <c r="B187" s="69"/>
      <c r="C187" s="5" t="s">
        <v>105</v>
      </c>
      <c r="D187" s="3">
        <v>30</v>
      </c>
      <c r="E187" s="3">
        <v>30</v>
      </c>
      <c r="F187" s="69">
        <f>7.7*E187/100</f>
        <v>2.31</v>
      </c>
      <c r="G187" s="69">
        <f>3*E187/100</f>
        <v>0.9</v>
      </c>
      <c r="H187" s="69">
        <f>49.8*E187/100</f>
        <v>14.94</v>
      </c>
      <c r="I187" s="69">
        <f>262*E187/100</f>
        <v>78.599999999999994</v>
      </c>
      <c r="J187" s="85">
        <f>127*E187/100</f>
        <v>38.1</v>
      </c>
      <c r="K187" s="69">
        <f>26*E187/100</f>
        <v>7.8</v>
      </c>
      <c r="L187" s="69">
        <f>35*E187/100</f>
        <v>10.5</v>
      </c>
      <c r="M187" s="85">
        <f>83*E187/100</f>
        <v>24.9</v>
      </c>
      <c r="N187" s="69">
        <f>1.6*E187/100</f>
        <v>0.48</v>
      </c>
      <c r="O187" s="69">
        <f>0</f>
        <v>0</v>
      </c>
      <c r="P187" s="69">
        <f>0.16*E187/100</f>
        <v>4.8000000000000001E-2</v>
      </c>
      <c r="Q187" s="69">
        <f>0.08*E187/100</f>
        <v>2.4E-2</v>
      </c>
      <c r="R187" s="69">
        <f>1.54*E187/100</f>
        <v>0.46200000000000002</v>
      </c>
      <c r="S187" s="69">
        <v>0</v>
      </c>
      <c r="T187" s="3"/>
      <c r="U187" s="32">
        <v>31.99</v>
      </c>
      <c r="V187" s="69">
        <f>D204*U204/1000</f>
        <v>1.0999999999999999E-2</v>
      </c>
    </row>
    <row r="188" spans="2:22" x14ac:dyDescent="0.2">
      <c r="B188" s="69" t="s">
        <v>24</v>
      </c>
      <c r="C188" s="5" t="s">
        <v>106</v>
      </c>
      <c r="D188" s="159">
        <v>20</v>
      </c>
      <c r="E188" s="159">
        <v>20</v>
      </c>
      <c r="F188" s="69">
        <v>1.32</v>
      </c>
      <c r="G188" s="69">
        <v>0.24</v>
      </c>
      <c r="H188" s="69">
        <v>6.84</v>
      </c>
      <c r="I188" s="69">
        <v>36.200000000000003</v>
      </c>
      <c r="J188" s="69">
        <v>18.8</v>
      </c>
      <c r="K188" s="69">
        <v>6.8</v>
      </c>
      <c r="L188" s="69">
        <v>8.1999999999999993</v>
      </c>
      <c r="M188" s="69">
        <v>24</v>
      </c>
      <c r="N188" s="69">
        <v>0.46</v>
      </c>
      <c r="O188" s="69">
        <v>0</v>
      </c>
      <c r="P188" s="69">
        <v>2.1999999999999999E-2</v>
      </c>
      <c r="Q188" s="69">
        <v>1.6E-2</v>
      </c>
      <c r="R188" s="69">
        <v>0.128</v>
      </c>
      <c r="S188" s="69">
        <v>0</v>
      </c>
      <c r="T188" s="69">
        <v>35.9</v>
      </c>
      <c r="U188" s="96">
        <v>0.71799999999999997</v>
      </c>
      <c r="V188" s="69">
        <f>D205*U205/1000</f>
        <v>1.65</v>
      </c>
    </row>
    <row r="189" spans="2:22" x14ac:dyDescent="0.2">
      <c r="B189" s="69" t="s">
        <v>24</v>
      </c>
      <c r="C189" s="42" t="s">
        <v>25</v>
      </c>
      <c r="D189" s="159"/>
      <c r="E189" s="159"/>
      <c r="F189" s="3">
        <v>30.317350000000001</v>
      </c>
      <c r="G189" s="3">
        <v>29.9864</v>
      </c>
      <c r="H189" s="3">
        <v>105.1669</v>
      </c>
      <c r="I189" s="3">
        <v>857.90599999999995</v>
      </c>
      <c r="J189" s="3">
        <v>915.04</v>
      </c>
      <c r="K189" s="3">
        <v>65.564999999999998</v>
      </c>
      <c r="L189" s="3">
        <v>83.597999999999999</v>
      </c>
      <c r="M189" s="3">
        <v>316.44049999999999</v>
      </c>
      <c r="N189" s="3">
        <v>8.1491500000000006</v>
      </c>
      <c r="O189" s="3">
        <v>0.11069</v>
      </c>
      <c r="P189" s="3">
        <v>0.53471500000000005</v>
      </c>
      <c r="Q189" s="3">
        <v>0.35713</v>
      </c>
      <c r="R189" s="3">
        <v>10.23165</v>
      </c>
      <c r="S189" s="3">
        <v>21.312000000000001</v>
      </c>
      <c r="T189" s="26"/>
      <c r="U189" s="165">
        <v>31.857060499999999</v>
      </c>
      <c r="V189" s="69">
        <f>V187+V188</f>
        <v>1.6609999999999998</v>
      </c>
    </row>
    <row r="190" spans="2:22" x14ac:dyDescent="0.2">
      <c r="B190" s="169"/>
      <c r="C190" s="130" t="s">
        <v>59</v>
      </c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70"/>
      <c r="S190" s="69"/>
      <c r="T190" s="69"/>
      <c r="U190" s="96"/>
      <c r="V190" s="96">
        <v>0.71799999999999997</v>
      </c>
    </row>
    <row r="191" spans="2:22" x14ac:dyDescent="0.2">
      <c r="B191" s="69"/>
      <c r="C191" s="130" t="s">
        <v>1</v>
      </c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70"/>
      <c r="S191" s="69"/>
      <c r="T191" s="69"/>
      <c r="U191" s="96"/>
      <c r="V191" s="96"/>
    </row>
    <row r="192" spans="2:22" x14ac:dyDescent="0.2">
      <c r="B192" s="189" t="s">
        <v>4</v>
      </c>
      <c r="C192" s="190" t="s">
        <v>5</v>
      </c>
      <c r="D192" s="191"/>
      <c r="E192" s="191">
        <v>200</v>
      </c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2"/>
      <c r="S192" s="191"/>
      <c r="T192" s="192"/>
      <c r="U192" s="193"/>
      <c r="V192" s="52"/>
    </row>
    <row r="193" spans="2:23" x14ac:dyDescent="0.2">
      <c r="B193" s="189"/>
      <c r="C193" s="194" t="s">
        <v>31</v>
      </c>
      <c r="D193" s="191">
        <v>53.4</v>
      </c>
      <c r="E193" s="191">
        <v>40</v>
      </c>
      <c r="F193" s="191">
        <v>0.8</v>
      </c>
      <c r="G193" s="191">
        <v>0.16</v>
      </c>
      <c r="H193" s="191">
        <v>6.52</v>
      </c>
      <c r="I193" s="191">
        <v>30.8</v>
      </c>
      <c r="J193" s="191">
        <v>227.2</v>
      </c>
      <c r="K193" s="191">
        <v>4</v>
      </c>
      <c r="L193" s="191">
        <v>9.1999999999999993</v>
      </c>
      <c r="M193" s="191">
        <v>23.2</v>
      </c>
      <c r="N193" s="191">
        <v>0.36</v>
      </c>
      <c r="O193" s="191">
        <v>0</v>
      </c>
      <c r="P193" s="191">
        <v>4.8000000000000001E-2</v>
      </c>
      <c r="Q193" s="191">
        <v>2.8000000000000001E-2</v>
      </c>
      <c r="R193" s="192">
        <v>0.52</v>
      </c>
      <c r="S193" s="191">
        <v>8</v>
      </c>
      <c r="T193" s="192">
        <v>35.76</v>
      </c>
      <c r="U193" s="193">
        <v>35.76</v>
      </c>
      <c r="V193" s="193">
        <v>1.91</v>
      </c>
    </row>
    <row r="194" spans="2:23" ht="15.75" customHeight="1" x14ac:dyDescent="0.2">
      <c r="B194" s="189"/>
      <c r="C194" s="194" t="s">
        <v>45</v>
      </c>
      <c r="D194" s="191">
        <v>16.2</v>
      </c>
      <c r="E194" s="191">
        <v>16</v>
      </c>
      <c r="F194" s="191">
        <v>3.68</v>
      </c>
      <c r="G194" s="191">
        <v>0.25600000000000001</v>
      </c>
      <c r="H194" s="191">
        <v>8.1280000000000001</v>
      </c>
      <c r="I194" s="191">
        <v>50.24</v>
      </c>
      <c r="J194" s="191">
        <v>116.96</v>
      </c>
      <c r="K194" s="191">
        <v>14.24</v>
      </c>
      <c r="L194" s="191">
        <v>14.08</v>
      </c>
      <c r="M194" s="191">
        <v>1.1200000000000001</v>
      </c>
      <c r="N194" s="191">
        <v>1.1200000000000001</v>
      </c>
      <c r="O194" s="195">
        <v>0.01</v>
      </c>
      <c r="P194" s="191">
        <v>0.14399999999999999</v>
      </c>
      <c r="Q194" s="191">
        <v>2.9000000000000001E-2</v>
      </c>
      <c r="R194" s="192">
        <v>0.379</v>
      </c>
      <c r="S194" s="191">
        <v>0</v>
      </c>
      <c r="T194" s="192">
        <v>31.63</v>
      </c>
      <c r="U194" s="193">
        <v>31.63</v>
      </c>
      <c r="V194" s="193">
        <v>0.51200000000000001</v>
      </c>
    </row>
    <row r="195" spans="2:23" s="26" customFormat="1" x14ac:dyDescent="0.2">
      <c r="B195" s="189"/>
      <c r="C195" s="194" t="s">
        <v>33</v>
      </c>
      <c r="D195" s="191">
        <v>9.6</v>
      </c>
      <c r="E195" s="191">
        <v>9.6</v>
      </c>
      <c r="F195" s="191">
        <v>0.12479999999999999</v>
      </c>
      <c r="G195" s="191">
        <v>9.5999999999999992E-3</v>
      </c>
      <c r="H195" s="191">
        <v>0.66239999999999999</v>
      </c>
      <c r="I195" s="191">
        <v>3.36</v>
      </c>
      <c r="J195" s="191">
        <v>19.2</v>
      </c>
      <c r="K195" s="191">
        <v>2.5920000000000001</v>
      </c>
      <c r="L195" s="191">
        <v>3.6480000000000001</v>
      </c>
      <c r="M195" s="191">
        <v>5.28</v>
      </c>
      <c r="N195" s="191">
        <v>6.7000000000000004E-2</v>
      </c>
      <c r="O195" s="191">
        <v>0</v>
      </c>
      <c r="P195" s="191">
        <v>6.0000000000000001E-3</v>
      </c>
      <c r="Q195" s="191">
        <v>7.0000000000000001E-3</v>
      </c>
      <c r="R195" s="192">
        <v>9.6000000000000002E-2</v>
      </c>
      <c r="S195" s="191">
        <v>0.48</v>
      </c>
      <c r="T195" s="192">
        <v>34.229999999999997</v>
      </c>
      <c r="U195" s="193">
        <v>34.229999999999997</v>
      </c>
      <c r="V195" s="193">
        <v>0.32900000000000001</v>
      </c>
    </row>
    <row r="196" spans="2:23" x14ac:dyDescent="0.2">
      <c r="B196" s="189"/>
      <c r="C196" s="194" t="s">
        <v>32</v>
      </c>
      <c r="D196" s="191">
        <v>12.6</v>
      </c>
      <c r="E196" s="191">
        <v>10</v>
      </c>
      <c r="F196" s="191">
        <v>0.13</v>
      </c>
      <c r="G196" s="191">
        <v>0.01</v>
      </c>
      <c r="H196" s="191">
        <v>0.69</v>
      </c>
      <c r="I196" s="191">
        <v>3.5</v>
      </c>
      <c r="J196" s="191">
        <v>20</v>
      </c>
      <c r="K196" s="191">
        <v>2.7</v>
      </c>
      <c r="L196" s="191">
        <v>3.8</v>
      </c>
      <c r="M196" s="191">
        <v>5.5</v>
      </c>
      <c r="N196" s="191">
        <v>7.0000000000000007E-2</v>
      </c>
      <c r="O196" s="191">
        <v>0</v>
      </c>
      <c r="P196" s="191">
        <v>6.0000000000000001E-3</v>
      </c>
      <c r="Q196" s="191">
        <v>7.0000000000000001E-3</v>
      </c>
      <c r="R196" s="192">
        <v>0.1</v>
      </c>
      <c r="S196" s="191">
        <v>0.5</v>
      </c>
      <c r="T196" s="192">
        <v>34.6</v>
      </c>
      <c r="U196" s="193">
        <v>34.6</v>
      </c>
      <c r="V196" s="193">
        <v>0.436</v>
      </c>
      <c r="W196" s="81"/>
    </row>
    <row r="197" spans="2:23" x14ac:dyDescent="0.2">
      <c r="B197" s="189"/>
      <c r="C197" s="194" t="s">
        <v>34</v>
      </c>
      <c r="D197" s="191">
        <v>4</v>
      </c>
      <c r="E197" s="191">
        <v>4</v>
      </c>
      <c r="F197" s="191">
        <v>0</v>
      </c>
      <c r="G197" s="191">
        <v>3.996</v>
      </c>
      <c r="H197" s="191">
        <v>0</v>
      </c>
      <c r="I197" s="191">
        <v>35.96</v>
      </c>
      <c r="J197" s="191">
        <v>0</v>
      </c>
      <c r="K197" s="191">
        <v>0</v>
      </c>
      <c r="L197" s="191">
        <v>0</v>
      </c>
      <c r="M197" s="191">
        <v>0</v>
      </c>
      <c r="N197" s="191">
        <v>0</v>
      </c>
      <c r="O197" s="191">
        <v>0</v>
      </c>
      <c r="P197" s="191">
        <v>0</v>
      </c>
      <c r="Q197" s="191">
        <v>0</v>
      </c>
      <c r="R197" s="192">
        <v>0</v>
      </c>
      <c r="S197" s="191">
        <v>0</v>
      </c>
      <c r="T197" s="192">
        <v>70.400000000000006</v>
      </c>
      <c r="U197" s="193">
        <v>70.400000000000006</v>
      </c>
      <c r="V197" s="193">
        <v>0.28199999999999997</v>
      </c>
      <c r="W197" s="81"/>
    </row>
    <row r="198" spans="2:23" x14ac:dyDescent="0.2">
      <c r="B198" s="189"/>
      <c r="C198" s="194" t="s">
        <v>46</v>
      </c>
      <c r="D198" s="191">
        <v>2</v>
      </c>
      <c r="E198" s="191">
        <v>2</v>
      </c>
      <c r="F198" s="191">
        <v>0</v>
      </c>
      <c r="G198" s="191">
        <v>0</v>
      </c>
      <c r="H198" s="191">
        <v>0</v>
      </c>
      <c r="I198" s="191">
        <v>0</v>
      </c>
      <c r="J198" s="191">
        <v>0</v>
      </c>
      <c r="K198" s="191">
        <v>0</v>
      </c>
      <c r="L198" s="191">
        <v>0</v>
      </c>
      <c r="M198" s="191">
        <v>0</v>
      </c>
      <c r="N198" s="191">
        <v>0</v>
      </c>
      <c r="O198" s="191">
        <v>0</v>
      </c>
      <c r="P198" s="191">
        <v>0</v>
      </c>
      <c r="Q198" s="191">
        <v>0</v>
      </c>
      <c r="R198" s="192">
        <v>0</v>
      </c>
      <c r="S198" s="191">
        <v>0</v>
      </c>
      <c r="T198" s="192">
        <v>11.13</v>
      </c>
      <c r="U198" s="193">
        <v>11.13</v>
      </c>
      <c r="V198" s="193">
        <v>2.1999999999999999E-2</v>
      </c>
      <c r="W198" s="81"/>
    </row>
    <row r="199" spans="2:23" x14ac:dyDescent="0.2">
      <c r="B199" s="189"/>
      <c r="C199" s="194" t="s">
        <v>35</v>
      </c>
      <c r="D199" s="191">
        <v>140</v>
      </c>
      <c r="E199" s="191">
        <v>140</v>
      </c>
      <c r="F199" s="191">
        <v>0</v>
      </c>
      <c r="G199" s="191">
        <v>0</v>
      </c>
      <c r="H199" s="191">
        <v>0</v>
      </c>
      <c r="I199" s="191">
        <v>0</v>
      </c>
      <c r="J199" s="191">
        <v>0</v>
      </c>
      <c r="K199" s="191">
        <v>0</v>
      </c>
      <c r="L199" s="191">
        <v>0</v>
      </c>
      <c r="M199" s="191">
        <v>0</v>
      </c>
      <c r="N199" s="191">
        <v>0</v>
      </c>
      <c r="O199" s="191">
        <v>0</v>
      </c>
      <c r="P199" s="191">
        <v>0</v>
      </c>
      <c r="Q199" s="191">
        <v>0</v>
      </c>
      <c r="R199" s="192">
        <v>0</v>
      </c>
      <c r="S199" s="191">
        <v>0</v>
      </c>
      <c r="T199" s="192">
        <v>0</v>
      </c>
      <c r="U199" s="193">
        <v>0</v>
      </c>
      <c r="V199" s="193">
        <v>0</v>
      </c>
      <c r="W199" s="81"/>
    </row>
    <row r="200" spans="2:23" x14ac:dyDescent="0.2">
      <c r="B200" s="189"/>
      <c r="C200" s="194" t="s">
        <v>47</v>
      </c>
      <c r="D200" s="191"/>
      <c r="E200" s="191"/>
      <c r="F200" s="191">
        <v>4.7300000000000004</v>
      </c>
      <c r="G200" s="191">
        <v>4.431</v>
      </c>
      <c r="H200" s="191">
        <v>16</v>
      </c>
      <c r="I200" s="191">
        <v>123.86</v>
      </c>
      <c r="J200" s="191">
        <v>383.36</v>
      </c>
      <c r="K200" s="191">
        <v>23.532</v>
      </c>
      <c r="L200" s="191">
        <v>30.728000000000002</v>
      </c>
      <c r="M200" s="191">
        <v>35.1</v>
      </c>
      <c r="N200" s="191">
        <v>1.617</v>
      </c>
      <c r="O200" s="191">
        <v>0</v>
      </c>
      <c r="P200" s="191">
        <v>0.20399999999999999</v>
      </c>
      <c r="Q200" s="191">
        <v>7.0999999999999994E-2</v>
      </c>
      <c r="R200" s="192">
        <v>1.095</v>
      </c>
      <c r="S200" s="191">
        <v>8.98</v>
      </c>
      <c r="T200" s="192"/>
      <c r="U200" s="193"/>
      <c r="V200" s="193">
        <v>3.49</v>
      </c>
      <c r="W200" s="81"/>
    </row>
    <row r="201" spans="2:23" hidden="1" x14ac:dyDescent="0.2">
      <c r="B201" s="69"/>
      <c r="C201" s="65" t="s">
        <v>35</v>
      </c>
      <c r="D201" s="69">
        <v>140</v>
      </c>
      <c r="E201" s="3">
        <v>140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26">
        <v>0</v>
      </c>
      <c r="U201" s="32">
        <v>0</v>
      </c>
      <c r="V201" s="96">
        <v>0.23455999999999999</v>
      </c>
      <c r="W201" s="81"/>
    </row>
    <row r="202" spans="2:23" hidden="1" x14ac:dyDescent="0.2">
      <c r="B202" s="69"/>
      <c r="C202" s="78" t="s">
        <v>77</v>
      </c>
      <c r="D202" s="69"/>
      <c r="E202" s="69"/>
      <c r="F202" s="36">
        <v>1.6168</v>
      </c>
      <c r="G202" s="36">
        <v>4.1580000000000004</v>
      </c>
      <c r="H202" s="36">
        <v>7.48</v>
      </c>
      <c r="I202" s="36">
        <v>74.652000000000001</v>
      </c>
      <c r="J202" s="37">
        <v>323.57</v>
      </c>
      <c r="K202" s="36">
        <v>30.84</v>
      </c>
      <c r="L202" s="36">
        <v>19.899999999999999</v>
      </c>
      <c r="M202" s="36">
        <v>42.3</v>
      </c>
      <c r="N202" s="36">
        <v>0.37180000000000002</v>
      </c>
      <c r="O202" s="36">
        <v>0</v>
      </c>
      <c r="P202" s="36">
        <v>5.4300000000000001E-2</v>
      </c>
      <c r="Q202" s="36">
        <v>4.9020000000000001E-2</v>
      </c>
      <c r="R202" s="36">
        <v>0.83340000000000003</v>
      </c>
      <c r="S202" s="36">
        <v>28.37</v>
      </c>
      <c r="T202" s="26"/>
      <c r="U202" s="96">
        <v>3.9561060000000001</v>
      </c>
      <c r="V202" s="96">
        <v>0.34599999999999997</v>
      </c>
      <c r="W202" s="81"/>
    </row>
    <row r="203" spans="2:23" ht="25.5" x14ac:dyDescent="0.2">
      <c r="B203" s="69" t="s">
        <v>140</v>
      </c>
      <c r="C203" s="5" t="s">
        <v>139</v>
      </c>
      <c r="D203" s="69"/>
      <c r="E203" s="3">
        <v>140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26"/>
      <c r="U203" s="32"/>
      <c r="V203" s="96">
        <v>0.32860800000000001</v>
      </c>
      <c r="W203" s="81"/>
    </row>
    <row r="204" spans="2:23" x14ac:dyDescent="0.2">
      <c r="B204" s="69"/>
      <c r="C204" s="78" t="s">
        <v>141</v>
      </c>
      <c r="D204" s="69">
        <v>2</v>
      </c>
      <c r="E204" s="69">
        <v>80</v>
      </c>
      <c r="F204" s="36">
        <v>14.57</v>
      </c>
      <c r="G204" s="36">
        <v>25.05</v>
      </c>
      <c r="H204" s="36">
        <v>2.1280000000000001</v>
      </c>
      <c r="I204" s="36">
        <v>292.52</v>
      </c>
      <c r="J204" s="37">
        <v>10</v>
      </c>
      <c r="K204" s="36">
        <v>9</v>
      </c>
      <c r="L204" s="36">
        <v>3.5</v>
      </c>
      <c r="M204" s="36">
        <v>0.8</v>
      </c>
      <c r="N204" s="36">
        <v>12.3</v>
      </c>
      <c r="O204" s="36">
        <v>0.16</v>
      </c>
      <c r="P204" s="36">
        <v>0</v>
      </c>
      <c r="Q204" s="36">
        <v>0</v>
      </c>
      <c r="R204" s="36">
        <v>0</v>
      </c>
      <c r="S204" s="36">
        <v>0</v>
      </c>
      <c r="T204" s="26"/>
      <c r="U204" s="96">
        <v>5.5</v>
      </c>
      <c r="V204" s="96">
        <v>11</v>
      </c>
      <c r="W204" s="81"/>
    </row>
    <row r="205" spans="2:23" x14ac:dyDescent="0.2">
      <c r="B205" s="69"/>
      <c r="C205" s="65" t="s">
        <v>142</v>
      </c>
      <c r="D205" s="69">
        <v>30</v>
      </c>
      <c r="E205" s="69">
        <v>30</v>
      </c>
      <c r="F205" s="69">
        <v>1.4</v>
      </c>
      <c r="G205" s="69">
        <v>15.1</v>
      </c>
      <c r="H205" s="69">
        <v>2.35</v>
      </c>
      <c r="I205" s="69">
        <v>29</v>
      </c>
      <c r="J205" s="86">
        <v>73</v>
      </c>
      <c r="K205" s="69">
        <v>60</v>
      </c>
      <c r="L205" s="69">
        <v>7</v>
      </c>
      <c r="M205" s="85">
        <v>45</v>
      </c>
      <c r="N205" s="69">
        <v>0.05</v>
      </c>
      <c r="O205" s="69">
        <v>0.01</v>
      </c>
      <c r="P205" s="69">
        <v>0.02</v>
      </c>
      <c r="Q205" s="96">
        <v>0.35</v>
      </c>
      <c r="R205" s="69">
        <v>0.05</v>
      </c>
      <c r="S205" s="69">
        <v>0.8</v>
      </c>
      <c r="T205" s="26"/>
      <c r="U205" s="96">
        <v>55</v>
      </c>
      <c r="V205" s="96">
        <v>1.8149999999999999</v>
      </c>
    </row>
    <row r="206" spans="2:23" x14ac:dyDescent="0.2">
      <c r="B206" s="69"/>
      <c r="C206" s="65" t="s">
        <v>143</v>
      </c>
      <c r="D206" s="69">
        <v>16</v>
      </c>
      <c r="E206" s="69">
        <v>16</v>
      </c>
      <c r="F206" s="69">
        <v>0</v>
      </c>
      <c r="G206" s="69">
        <v>6.89</v>
      </c>
      <c r="H206" s="69">
        <v>0.12</v>
      </c>
      <c r="I206" s="69">
        <v>62.8</v>
      </c>
      <c r="J206" s="86">
        <v>2.19</v>
      </c>
      <c r="K206" s="69">
        <v>2.09</v>
      </c>
      <c r="L206" s="69">
        <v>0.28999999999999998</v>
      </c>
      <c r="M206" s="85">
        <v>1.81</v>
      </c>
      <c r="N206" s="69">
        <v>0</v>
      </c>
      <c r="O206" s="69">
        <v>0</v>
      </c>
      <c r="P206" s="69">
        <v>0</v>
      </c>
      <c r="Q206" s="96">
        <v>0</v>
      </c>
      <c r="R206" s="69">
        <v>0</v>
      </c>
      <c r="S206" s="69">
        <v>0</v>
      </c>
      <c r="T206" s="26"/>
      <c r="U206" s="96">
        <v>337.8</v>
      </c>
      <c r="V206" s="96">
        <v>5.4047999999999998</v>
      </c>
    </row>
    <row r="207" spans="2:23" x14ac:dyDescent="0.2">
      <c r="B207" s="69"/>
      <c r="C207" s="65" t="s">
        <v>144</v>
      </c>
      <c r="D207" s="69">
        <v>33</v>
      </c>
      <c r="E207" s="69">
        <v>32</v>
      </c>
      <c r="F207" s="69">
        <v>7.7</v>
      </c>
      <c r="G207" s="69">
        <v>16.73</v>
      </c>
      <c r="H207" s="69">
        <v>0</v>
      </c>
      <c r="I207" s="69">
        <v>182.7</v>
      </c>
      <c r="J207" s="86">
        <v>154</v>
      </c>
      <c r="K207" s="69">
        <v>24.5</v>
      </c>
      <c r="L207" s="69">
        <v>14</v>
      </c>
      <c r="M207" s="85">
        <v>111.3</v>
      </c>
      <c r="N207" s="69">
        <v>1.26</v>
      </c>
      <c r="O207" s="69">
        <v>0</v>
      </c>
      <c r="P207" s="69">
        <v>0</v>
      </c>
      <c r="Q207" s="96">
        <v>0</v>
      </c>
      <c r="R207" s="69">
        <v>0</v>
      </c>
      <c r="S207" s="69">
        <v>0</v>
      </c>
      <c r="T207" s="26"/>
      <c r="U207" s="96">
        <v>260</v>
      </c>
      <c r="V207" s="96">
        <v>8.58</v>
      </c>
    </row>
    <row r="208" spans="2:23" ht="15" customHeight="1" x14ac:dyDescent="0.2">
      <c r="B208" s="69"/>
      <c r="C208" s="65" t="s">
        <v>145</v>
      </c>
      <c r="D208" s="69">
        <v>2</v>
      </c>
      <c r="E208" s="69">
        <v>2</v>
      </c>
      <c r="F208" s="69">
        <v>0</v>
      </c>
      <c r="G208" s="69">
        <v>0</v>
      </c>
      <c r="H208" s="69">
        <v>0</v>
      </c>
      <c r="I208" s="69">
        <v>0</v>
      </c>
      <c r="J208" s="86">
        <v>0</v>
      </c>
      <c r="K208" s="69">
        <v>0</v>
      </c>
      <c r="L208" s="69">
        <v>0</v>
      </c>
      <c r="M208" s="85">
        <v>0</v>
      </c>
      <c r="N208" s="69">
        <v>0</v>
      </c>
      <c r="O208" s="69">
        <v>0</v>
      </c>
      <c r="P208" s="69">
        <v>0</v>
      </c>
      <c r="Q208" s="96">
        <v>0</v>
      </c>
      <c r="R208" s="69">
        <v>0</v>
      </c>
      <c r="S208" s="69">
        <v>0</v>
      </c>
      <c r="T208" s="26"/>
      <c r="U208" s="96">
        <v>11.63</v>
      </c>
      <c r="V208" s="96">
        <v>0.02</v>
      </c>
    </row>
    <row r="209" spans="2:22" ht="24" customHeight="1" x14ac:dyDescent="0.2">
      <c r="B209" s="69" t="s">
        <v>148</v>
      </c>
      <c r="C209" s="5" t="s">
        <v>147</v>
      </c>
      <c r="D209" s="69"/>
      <c r="E209" s="27">
        <v>50</v>
      </c>
      <c r="F209" s="69"/>
      <c r="G209" s="69"/>
      <c r="H209" s="69"/>
      <c r="I209" s="69"/>
      <c r="J209" s="86"/>
      <c r="K209" s="69"/>
      <c r="L209" s="69"/>
      <c r="M209" s="85"/>
      <c r="N209" s="69"/>
      <c r="O209" s="69"/>
      <c r="P209" s="69"/>
      <c r="Q209" s="96"/>
      <c r="R209" s="69"/>
      <c r="S209" s="69"/>
      <c r="T209" s="26"/>
      <c r="U209" s="96"/>
      <c r="V209" s="96"/>
    </row>
    <row r="210" spans="2:22" hidden="1" x14ac:dyDescent="0.2">
      <c r="B210" s="69"/>
      <c r="C210" s="39" t="s">
        <v>47</v>
      </c>
      <c r="D210" s="69"/>
      <c r="E210" s="69"/>
      <c r="F210" s="3">
        <f>F204+F205</f>
        <v>15.97</v>
      </c>
      <c r="G210" s="3">
        <f t="shared" ref="G210:S210" si="17">G204+G205</f>
        <v>40.15</v>
      </c>
      <c r="H210" s="3">
        <f t="shared" si="17"/>
        <v>4.4779999999999998</v>
      </c>
      <c r="I210" s="3">
        <f t="shared" si="17"/>
        <v>321.52</v>
      </c>
      <c r="J210" s="3">
        <f t="shared" si="17"/>
        <v>83</v>
      </c>
      <c r="K210" s="3">
        <f t="shared" si="17"/>
        <v>69</v>
      </c>
      <c r="L210" s="3">
        <f t="shared" si="17"/>
        <v>10.5</v>
      </c>
      <c r="M210" s="3">
        <f t="shared" si="17"/>
        <v>45.8</v>
      </c>
      <c r="N210" s="3">
        <f t="shared" si="17"/>
        <v>12.350000000000001</v>
      </c>
      <c r="O210" s="3">
        <f t="shared" si="17"/>
        <v>0.17</v>
      </c>
      <c r="P210" s="3">
        <f t="shared" si="17"/>
        <v>0.02</v>
      </c>
      <c r="Q210" s="3">
        <f t="shared" si="17"/>
        <v>0.35</v>
      </c>
      <c r="R210" s="3">
        <f t="shared" si="17"/>
        <v>0.05</v>
      </c>
      <c r="S210" s="3">
        <f t="shared" si="17"/>
        <v>0.8</v>
      </c>
      <c r="T210" s="26"/>
      <c r="U210" s="96"/>
      <c r="V210" s="96">
        <v>0</v>
      </c>
    </row>
    <row r="211" spans="2:22" x14ac:dyDescent="0.2">
      <c r="B211" s="69"/>
      <c r="C211" s="65" t="s">
        <v>149</v>
      </c>
      <c r="D211" s="69">
        <v>51.5</v>
      </c>
      <c r="E211" s="69">
        <v>50</v>
      </c>
      <c r="F211" s="69">
        <v>0.9</v>
      </c>
      <c r="G211" s="69">
        <v>0</v>
      </c>
      <c r="H211" s="3">
        <v>1.5</v>
      </c>
      <c r="I211" s="3">
        <v>11.5</v>
      </c>
      <c r="J211" s="3">
        <v>150</v>
      </c>
      <c r="K211" s="3">
        <v>24</v>
      </c>
      <c r="L211" s="3">
        <v>8</v>
      </c>
      <c r="M211" s="3">
        <v>15.5</v>
      </c>
      <c r="N211" s="3">
        <v>0.3</v>
      </c>
      <c r="O211" s="3">
        <v>0</v>
      </c>
      <c r="P211" s="3">
        <v>0.01</v>
      </c>
      <c r="Q211" s="3">
        <v>0.01</v>
      </c>
      <c r="R211" s="50">
        <v>0.2</v>
      </c>
      <c r="S211" s="3">
        <v>15</v>
      </c>
      <c r="T211" s="26"/>
      <c r="U211" s="96">
        <v>75</v>
      </c>
      <c r="V211" s="96">
        <v>3.8250000000000002</v>
      </c>
    </row>
    <row r="212" spans="2:22" x14ac:dyDescent="0.2">
      <c r="B212" s="69"/>
      <c r="C212" s="5" t="s">
        <v>106</v>
      </c>
      <c r="D212" s="69">
        <v>20</v>
      </c>
      <c r="E212" s="69">
        <v>20</v>
      </c>
      <c r="F212" s="69">
        <v>1.32</v>
      </c>
      <c r="G212" s="69">
        <v>0.24</v>
      </c>
      <c r="H212" s="69">
        <v>6.84</v>
      </c>
      <c r="I212" s="69">
        <v>36.200000000000003</v>
      </c>
      <c r="J212" s="69">
        <v>18.8</v>
      </c>
      <c r="K212" s="69">
        <v>6.8</v>
      </c>
      <c r="L212" s="69">
        <v>8.1999999999999993</v>
      </c>
      <c r="M212" s="69">
        <v>24</v>
      </c>
      <c r="N212" s="69">
        <v>0.46</v>
      </c>
      <c r="O212" s="69">
        <v>0</v>
      </c>
      <c r="P212" s="69">
        <v>2.1999999999999999E-2</v>
      </c>
      <c r="Q212" s="69">
        <v>1.6E-2</v>
      </c>
      <c r="R212" s="70">
        <v>0.128</v>
      </c>
      <c r="S212" s="69">
        <v>0</v>
      </c>
      <c r="T212" s="69">
        <v>35.9</v>
      </c>
      <c r="U212" s="96">
        <v>0.71799999999999997</v>
      </c>
      <c r="V212" s="32">
        <v>3.9330280000000002</v>
      </c>
    </row>
    <row r="213" spans="2:22" s="26" customFormat="1" ht="25.5" x14ac:dyDescent="0.2">
      <c r="B213" s="69"/>
      <c r="C213" s="5" t="s">
        <v>105</v>
      </c>
      <c r="D213" s="69">
        <v>30</v>
      </c>
      <c r="E213" s="69">
        <v>30</v>
      </c>
      <c r="F213" s="69">
        <f>7.7*E213/100</f>
        <v>2.31</v>
      </c>
      <c r="G213" s="69">
        <f>3*E213/100</f>
        <v>0.9</v>
      </c>
      <c r="H213" s="69">
        <f>49.8*E213/100</f>
        <v>14.94</v>
      </c>
      <c r="I213" s="69">
        <f>262*E213/100</f>
        <v>78.599999999999994</v>
      </c>
      <c r="J213" s="85">
        <f>127*E213/100</f>
        <v>38.1</v>
      </c>
      <c r="K213" s="69">
        <f>26*E213/100</f>
        <v>7.8</v>
      </c>
      <c r="L213" s="69">
        <f>35*E213/100</f>
        <v>10.5</v>
      </c>
      <c r="M213" s="85">
        <f>83*E213/100</f>
        <v>24.9</v>
      </c>
      <c r="N213" s="69">
        <f>1.6*E213/100</f>
        <v>0.48</v>
      </c>
      <c r="O213" s="69">
        <f>0</f>
        <v>0</v>
      </c>
      <c r="P213" s="69">
        <f>0.16*E213/100</f>
        <v>4.8000000000000001E-2</v>
      </c>
      <c r="Q213" s="69">
        <f>0.08*E213/100</f>
        <v>2.4E-2</v>
      </c>
      <c r="R213" s="69">
        <f>1.54*E213/100</f>
        <v>0.46200000000000002</v>
      </c>
      <c r="S213" s="69">
        <v>0</v>
      </c>
      <c r="T213" s="3"/>
      <c r="U213" s="96">
        <v>31.99</v>
      </c>
      <c r="V213" s="69">
        <f>D230*U230/1000</f>
        <v>0</v>
      </c>
    </row>
    <row r="214" spans="2:22" x14ac:dyDescent="0.2">
      <c r="B214" s="69" t="s">
        <v>24</v>
      </c>
      <c r="C214" s="5" t="s">
        <v>74</v>
      </c>
      <c r="D214" s="69" t="s">
        <v>75</v>
      </c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70"/>
      <c r="S214" s="69"/>
      <c r="T214" s="69"/>
      <c r="U214" s="96"/>
      <c r="V214" s="84"/>
    </row>
    <row r="215" spans="2:22" x14ac:dyDescent="0.2">
      <c r="B215" s="69" t="s">
        <v>73</v>
      </c>
      <c r="C215" s="65" t="s">
        <v>146</v>
      </c>
      <c r="D215" s="69">
        <v>50</v>
      </c>
      <c r="E215" s="69">
        <v>50</v>
      </c>
      <c r="F215" s="69">
        <v>0.1</v>
      </c>
      <c r="G215" s="69">
        <v>0</v>
      </c>
      <c r="H215" s="69">
        <v>0</v>
      </c>
      <c r="I215" s="69">
        <v>0.8</v>
      </c>
      <c r="J215" s="69">
        <v>12.4</v>
      </c>
      <c r="K215" s="69">
        <v>2.5</v>
      </c>
      <c r="L215" s="69">
        <v>2.2000000000000002</v>
      </c>
      <c r="M215" s="69">
        <v>4.0999999999999996</v>
      </c>
      <c r="N215" s="69">
        <v>0.4</v>
      </c>
      <c r="O215" s="69">
        <v>0</v>
      </c>
      <c r="P215" s="69">
        <v>0</v>
      </c>
      <c r="Q215" s="69">
        <v>0</v>
      </c>
      <c r="R215" s="70">
        <v>0</v>
      </c>
      <c r="S215" s="69">
        <v>0</v>
      </c>
      <c r="T215" s="69">
        <v>412</v>
      </c>
      <c r="U215" s="96">
        <v>0.41199999999999998</v>
      </c>
      <c r="V215" s="52">
        <v>17.8</v>
      </c>
    </row>
    <row r="216" spans="2:22" x14ac:dyDescent="0.2">
      <c r="B216" s="69"/>
      <c r="C216" s="39" t="s">
        <v>30</v>
      </c>
      <c r="D216" s="3">
        <v>15</v>
      </c>
      <c r="E216" s="3">
        <v>15</v>
      </c>
      <c r="F216" s="3">
        <v>0</v>
      </c>
      <c r="G216" s="3">
        <v>0</v>
      </c>
      <c r="H216" s="3">
        <v>15</v>
      </c>
      <c r="I216" s="3">
        <v>56.9</v>
      </c>
      <c r="J216" s="3">
        <v>0.5</v>
      </c>
      <c r="K216" s="3">
        <v>0.4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50">
        <v>0</v>
      </c>
      <c r="S216" s="3">
        <v>0</v>
      </c>
      <c r="T216" s="69">
        <v>35.159999999999997</v>
      </c>
      <c r="U216" s="96">
        <v>0.52739999999999998</v>
      </c>
      <c r="V216" s="135">
        <v>0</v>
      </c>
    </row>
    <row r="217" spans="2:22" x14ac:dyDescent="0.2">
      <c r="B217" s="69"/>
      <c r="C217" s="5" t="s">
        <v>35</v>
      </c>
      <c r="D217" s="3">
        <v>150</v>
      </c>
      <c r="E217" s="3">
        <v>150</v>
      </c>
      <c r="F217" s="69">
        <v>0</v>
      </c>
      <c r="G217" s="69">
        <v>0</v>
      </c>
      <c r="H217" s="69">
        <v>0</v>
      </c>
      <c r="I217" s="69">
        <v>0</v>
      </c>
      <c r="J217" s="85">
        <v>0</v>
      </c>
      <c r="K217" s="69">
        <v>0</v>
      </c>
      <c r="L217" s="69">
        <v>0</v>
      </c>
      <c r="M217" s="85">
        <v>0</v>
      </c>
      <c r="N217" s="69">
        <v>0</v>
      </c>
      <c r="O217" s="69">
        <v>0</v>
      </c>
      <c r="P217" s="69">
        <v>0</v>
      </c>
      <c r="Q217" s="69">
        <v>0</v>
      </c>
      <c r="R217" s="69">
        <v>0</v>
      </c>
      <c r="S217" s="69">
        <v>0</v>
      </c>
      <c r="T217" s="3">
        <v>0</v>
      </c>
      <c r="U217" s="32">
        <v>0</v>
      </c>
      <c r="V217" s="135">
        <v>0.372</v>
      </c>
    </row>
    <row r="218" spans="2:22" x14ac:dyDescent="0.2">
      <c r="B218" s="69"/>
      <c r="C218" s="5" t="s">
        <v>47</v>
      </c>
      <c r="D218" s="3"/>
      <c r="E218" s="3"/>
      <c r="F218" s="69">
        <v>0.1</v>
      </c>
      <c r="G218" s="69">
        <v>0</v>
      </c>
      <c r="H218" s="69">
        <v>15</v>
      </c>
      <c r="I218" s="69">
        <v>57.7</v>
      </c>
      <c r="J218" s="69">
        <v>12.9</v>
      </c>
      <c r="K218" s="69">
        <v>2.9</v>
      </c>
      <c r="L218" s="69">
        <v>2.2000000000000002</v>
      </c>
      <c r="M218" s="69">
        <v>4.12</v>
      </c>
      <c r="N218" s="69">
        <v>0.4</v>
      </c>
      <c r="O218" s="69">
        <v>0</v>
      </c>
      <c r="P218" s="69">
        <v>0</v>
      </c>
      <c r="Q218" s="69">
        <v>0</v>
      </c>
      <c r="R218" s="69">
        <v>0</v>
      </c>
      <c r="S218" s="69">
        <v>0</v>
      </c>
      <c r="T218" s="3"/>
      <c r="U218" s="32">
        <v>0.93940000000000001</v>
      </c>
      <c r="V218" s="135">
        <v>0.82899999999999996</v>
      </c>
    </row>
    <row r="219" spans="2:22" x14ac:dyDescent="0.2">
      <c r="B219" s="69"/>
      <c r="C219" s="42" t="s">
        <v>25</v>
      </c>
      <c r="D219" s="42"/>
      <c r="E219" s="42"/>
      <c r="F219" s="42">
        <v>28.915900000000001</v>
      </c>
      <c r="G219" s="42">
        <v>30.662700000000001</v>
      </c>
      <c r="H219" s="42">
        <v>88.719399999999993</v>
      </c>
      <c r="I219" s="42">
        <v>666.63760000000002</v>
      </c>
      <c r="J219" s="42">
        <v>786.74599999999998</v>
      </c>
      <c r="K219" s="42">
        <v>131.678</v>
      </c>
      <c r="L219" s="42">
        <v>135.65799999999999</v>
      </c>
      <c r="M219" s="42">
        <v>183.2825</v>
      </c>
      <c r="N219" s="42">
        <v>8.1952200000000008</v>
      </c>
      <c r="O219" s="42">
        <v>6.3E-2</v>
      </c>
      <c r="P219" s="42">
        <v>0.51873999999999998</v>
      </c>
      <c r="Q219" s="42">
        <v>0.33509100000000003</v>
      </c>
      <c r="R219" s="42">
        <v>6.69116</v>
      </c>
      <c r="S219" s="42">
        <v>45.122500000000002</v>
      </c>
      <c r="T219" s="42"/>
      <c r="U219" s="153">
        <v>33.19</v>
      </c>
      <c r="V219" s="135">
        <v>0.88400000000000001</v>
      </c>
    </row>
    <row r="220" spans="2:22" x14ac:dyDescent="0.2">
      <c r="B220" s="169"/>
      <c r="C220" s="130" t="s">
        <v>60</v>
      </c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70"/>
      <c r="S220" s="69"/>
      <c r="T220" s="69"/>
      <c r="U220" s="96"/>
      <c r="V220" s="135">
        <v>0.14499999999999999</v>
      </c>
    </row>
    <row r="221" spans="2:22" x14ac:dyDescent="0.2">
      <c r="B221" s="69"/>
      <c r="C221" s="130" t="s">
        <v>1</v>
      </c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70"/>
      <c r="S221" s="69"/>
      <c r="T221" s="69"/>
      <c r="U221" s="96"/>
      <c r="V221" s="138">
        <v>20.07</v>
      </c>
    </row>
    <row r="222" spans="2:22" x14ac:dyDescent="0.2">
      <c r="B222" s="69"/>
      <c r="C222" s="130" t="s">
        <v>92</v>
      </c>
      <c r="D222" s="69"/>
      <c r="E222" s="69">
        <v>200</v>
      </c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70"/>
      <c r="S222" s="69"/>
      <c r="T222" s="69"/>
      <c r="U222" s="96"/>
      <c r="V222" s="84"/>
    </row>
    <row r="223" spans="2:22" x14ac:dyDescent="0.2">
      <c r="B223" s="69" t="s">
        <v>91</v>
      </c>
      <c r="C223" s="65" t="s">
        <v>31</v>
      </c>
      <c r="D223" s="69">
        <v>80</v>
      </c>
      <c r="E223" s="3">
        <v>60</v>
      </c>
      <c r="F223" s="3">
        <v>1.2</v>
      </c>
      <c r="G223" s="3">
        <v>0.24</v>
      </c>
      <c r="H223" s="7">
        <v>9.7799999999999994</v>
      </c>
      <c r="I223" s="32">
        <v>46.2</v>
      </c>
      <c r="J223" s="7">
        <v>340.8</v>
      </c>
      <c r="K223" s="3">
        <v>6</v>
      </c>
      <c r="L223" s="3">
        <v>13.8</v>
      </c>
      <c r="M223" s="3">
        <v>34.799999999999997</v>
      </c>
      <c r="N223" s="3">
        <v>0.54</v>
      </c>
      <c r="O223" s="3">
        <v>0</v>
      </c>
      <c r="P223" s="3">
        <v>7.1999999999999995E-2</v>
      </c>
      <c r="Q223" s="3">
        <v>4.2000000000000003E-2</v>
      </c>
      <c r="R223" s="3">
        <v>0.78</v>
      </c>
      <c r="S223" s="3">
        <v>12</v>
      </c>
      <c r="T223" s="69">
        <v>35.76</v>
      </c>
      <c r="U223" s="96">
        <v>2.8607999999999998</v>
      </c>
      <c r="V223" s="84">
        <f t="shared" ref="V223:V232" si="18">D240*U240/1000</f>
        <v>7.5891900000000003</v>
      </c>
    </row>
    <row r="224" spans="2:22" x14ac:dyDescent="0.2">
      <c r="B224" s="69"/>
      <c r="C224" s="65" t="s">
        <v>114</v>
      </c>
      <c r="D224" s="69">
        <v>8</v>
      </c>
      <c r="E224" s="3">
        <v>8</v>
      </c>
      <c r="F224" s="3">
        <v>0.92</v>
      </c>
      <c r="G224" s="3">
        <v>0.08</v>
      </c>
      <c r="H224" s="7">
        <v>5.7119999999999997</v>
      </c>
      <c r="I224" s="32">
        <v>26.4</v>
      </c>
      <c r="J224" s="7">
        <v>4.32</v>
      </c>
      <c r="K224" s="3">
        <v>1.92</v>
      </c>
      <c r="L224" s="3">
        <v>1.68</v>
      </c>
      <c r="M224" s="3">
        <v>0.14399999999999999</v>
      </c>
      <c r="N224" s="3">
        <v>0.14399999999999999</v>
      </c>
      <c r="O224" s="3">
        <v>0</v>
      </c>
      <c r="P224" s="3">
        <v>6.4000000000000003E-3</v>
      </c>
      <c r="Q224" s="3">
        <v>3.2000000000000002E-3</v>
      </c>
      <c r="R224" s="3">
        <v>0.128</v>
      </c>
      <c r="S224" s="3">
        <v>0</v>
      </c>
      <c r="T224" s="69">
        <v>29.32</v>
      </c>
      <c r="U224" s="96">
        <v>0.23455999999999999</v>
      </c>
      <c r="V224" s="84">
        <f t="shared" si="18"/>
        <v>0</v>
      </c>
    </row>
    <row r="225" spans="2:22" x14ac:dyDescent="0.2">
      <c r="B225" s="69"/>
      <c r="C225" s="65" t="s">
        <v>32</v>
      </c>
      <c r="D225" s="69">
        <v>10</v>
      </c>
      <c r="E225" s="3">
        <v>8</v>
      </c>
      <c r="F225" s="3">
        <v>0.104</v>
      </c>
      <c r="G225" s="3">
        <v>8.0000000000000002E-3</v>
      </c>
      <c r="H225" s="7">
        <v>0.55200000000000005</v>
      </c>
      <c r="I225" s="32">
        <v>2.8</v>
      </c>
      <c r="J225" s="7">
        <v>16</v>
      </c>
      <c r="K225" s="3">
        <v>2.16</v>
      </c>
      <c r="L225" s="3">
        <v>3.04</v>
      </c>
      <c r="M225" s="3">
        <v>4.4000000000000004</v>
      </c>
      <c r="N225" s="3">
        <v>5.6000000000000001E-2</v>
      </c>
      <c r="O225" s="3">
        <v>0</v>
      </c>
      <c r="P225" s="3">
        <v>4.7999999999999996E-3</v>
      </c>
      <c r="Q225" s="3">
        <v>5.5999999999999999E-3</v>
      </c>
      <c r="R225" s="3">
        <v>0.08</v>
      </c>
      <c r="S225" s="3">
        <v>0.4</v>
      </c>
      <c r="T225" s="69">
        <v>34.6</v>
      </c>
      <c r="U225" s="96">
        <v>0.34599999999999997</v>
      </c>
      <c r="V225" s="84">
        <f t="shared" si="18"/>
        <v>0.50058000000000002</v>
      </c>
    </row>
    <row r="226" spans="2:22" x14ac:dyDescent="0.2">
      <c r="B226" s="69"/>
      <c r="C226" s="65" t="s">
        <v>33</v>
      </c>
      <c r="D226" s="69">
        <v>9.6</v>
      </c>
      <c r="E226" s="3">
        <v>8</v>
      </c>
      <c r="F226" s="3">
        <v>0.104</v>
      </c>
      <c r="G226" s="3">
        <v>8.0000000000000002E-3</v>
      </c>
      <c r="H226" s="7">
        <v>0.55200000000000005</v>
      </c>
      <c r="I226" s="32">
        <v>2.8</v>
      </c>
      <c r="J226" s="7">
        <v>16</v>
      </c>
      <c r="K226" s="3">
        <v>2.16</v>
      </c>
      <c r="L226" s="3">
        <v>3.04</v>
      </c>
      <c r="M226" s="3">
        <v>4.4000000000000004</v>
      </c>
      <c r="N226" s="3">
        <v>5.6000000000000001E-2</v>
      </c>
      <c r="O226" s="3">
        <v>0</v>
      </c>
      <c r="P226" s="3">
        <v>4.7999999999999996E-3</v>
      </c>
      <c r="Q226" s="3">
        <v>5.5999999999999999E-3</v>
      </c>
      <c r="R226" s="3">
        <v>0.08</v>
      </c>
      <c r="S226" s="3">
        <v>0.4</v>
      </c>
      <c r="T226" s="69">
        <v>34.229999999999997</v>
      </c>
      <c r="U226" s="96">
        <v>0.32860800000000001</v>
      </c>
      <c r="V226" s="84">
        <f t="shared" si="18"/>
        <v>0.432</v>
      </c>
    </row>
    <row r="227" spans="2:22" ht="25.5" x14ac:dyDescent="0.2">
      <c r="B227" s="69"/>
      <c r="C227" s="65" t="s">
        <v>34</v>
      </c>
      <c r="D227" s="69">
        <v>2</v>
      </c>
      <c r="E227" s="3">
        <v>2</v>
      </c>
      <c r="F227" s="3">
        <v>0</v>
      </c>
      <c r="G227" s="3">
        <v>1.998</v>
      </c>
      <c r="H227" s="7">
        <v>0</v>
      </c>
      <c r="I227" s="32">
        <v>17.98</v>
      </c>
      <c r="J227" s="7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69">
        <v>70.400000000000006</v>
      </c>
      <c r="U227" s="96">
        <v>0.14080000000000001</v>
      </c>
      <c r="V227" s="84">
        <f t="shared" si="18"/>
        <v>0.14719499999999999</v>
      </c>
    </row>
    <row r="228" spans="2:22" x14ac:dyDescent="0.2">
      <c r="B228" s="69"/>
      <c r="C228" s="65" t="s">
        <v>46</v>
      </c>
      <c r="D228" s="69">
        <v>2</v>
      </c>
      <c r="E228" s="3">
        <v>2</v>
      </c>
      <c r="F228" s="3">
        <v>0</v>
      </c>
      <c r="G228" s="3">
        <v>0</v>
      </c>
      <c r="H228" s="7">
        <v>0</v>
      </c>
      <c r="I228" s="32">
        <v>0</v>
      </c>
      <c r="J228" s="7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69">
        <v>11.13</v>
      </c>
      <c r="U228" s="96">
        <v>2.2259999999999999E-2</v>
      </c>
      <c r="V228" s="84">
        <f t="shared" si="18"/>
        <v>0.22215000000000001</v>
      </c>
    </row>
    <row r="229" spans="2:22" x14ac:dyDescent="0.2">
      <c r="B229" s="69"/>
      <c r="C229" s="65" t="s">
        <v>62</v>
      </c>
      <c r="D229" s="69">
        <v>150</v>
      </c>
      <c r="E229" s="3">
        <v>150</v>
      </c>
      <c r="F229" s="3">
        <v>0</v>
      </c>
      <c r="G229" s="3">
        <v>0</v>
      </c>
      <c r="H229" s="7">
        <v>0</v>
      </c>
      <c r="I229" s="32">
        <v>0</v>
      </c>
      <c r="J229" s="7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69">
        <v>0</v>
      </c>
      <c r="U229" s="96">
        <v>0</v>
      </c>
      <c r="V229" s="84">
        <f t="shared" si="18"/>
        <v>3.5999999999999999E-3</v>
      </c>
    </row>
    <row r="230" spans="2:22" x14ac:dyDescent="0.2">
      <c r="B230" s="69"/>
      <c r="C230" s="65" t="s">
        <v>47</v>
      </c>
      <c r="D230" s="69"/>
      <c r="E230" s="3"/>
      <c r="F230" s="3">
        <v>2.3279999999999998</v>
      </c>
      <c r="G230" s="3">
        <v>2.3340000000000001</v>
      </c>
      <c r="H230" s="7">
        <v>16.596</v>
      </c>
      <c r="I230" s="32">
        <v>96.18</v>
      </c>
      <c r="J230" s="7">
        <v>377.12</v>
      </c>
      <c r="K230" s="3">
        <v>12.24</v>
      </c>
      <c r="L230" s="3">
        <v>21.56</v>
      </c>
      <c r="M230" s="3">
        <v>43.744</v>
      </c>
      <c r="N230" s="3">
        <v>0.79600000000000004</v>
      </c>
      <c r="O230" s="3">
        <v>0</v>
      </c>
      <c r="P230" s="3">
        <v>8.7999999999999995E-2</v>
      </c>
      <c r="Q230" s="3">
        <v>5.6399999999999999E-2</v>
      </c>
      <c r="R230" s="3">
        <v>1.0680000000000001</v>
      </c>
      <c r="S230" s="3">
        <v>12.8</v>
      </c>
      <c r="T230" s="69"/>
      <c r="U230" s="96">
        <v>3.9330280000000002</v>
      </c>
      <c r="V230" s="84">
        <f t="shared" si="18"/>
        <v>4.0964999999999994E-2</v>
      </c>
    </row>
    <row r="231" spans="2:22" x14ac:dyDescent="0.2">
      <c r="B231" s="69"/>
      <c r="C231" s="137" t="s">
        <v>111</v>
      </c>
      <c r="D231" s="21"/>
      <c r="E231" s="21">
        <v>80</v>
      </c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96"/>
      <c r="U231" s="84"/>
      <c r="V231" s="84">
        <f t="shared" si="18"/>
        <v>0.22936500000000001</v>
      </c>
    </row>
    <row r="232" spans="2:22" x14ac:dyDescent="0.2">
      <c r="B232" s="3" t="s">
        <v>110</v>
      </c>
      <c r="C232" s="138" t="s">
        <v>112</v>
      </c>
      <c r="D232" s="157">
        <v>80</v>
      </c>
      <c r="E232" s="138">
        <v>59.2</v>
      </c>
      <c r="F232" s="138">
        <v>6.5449999999999999</v>
      </c>
      <c r="G232" s="138">
        <v>5.6349999999999998</v>
      </c>
      <c r="H232" s="138">
        <v>0</v>
      </c>
      <c r="I232" s="138">
        <v>77</v>
      </c>
      <c r="J232" s="138">
        <v>82.6</v>
      </c>
      <c r="K232" s="139">
        <v>4.9000000000000004</v>
      </c>
      <c r="L232" s="140">
        <v>6.7</v>
      </c>
      <c r="M232" s="140">
        <v>56</v>
      </c>
      <c r="N232" s="138">
        <v>0.45500000000000002</v>
      </c>
      <c r="O232" s="138">
        <v>0.01</v>
      </c>
      <c r="P232" s="138">
        <v>3.2000000000000001E-2</v>
      </c>
      <c r="Q232" s="138">
        <v>5.2999999999999999E-2</v>
      </c>
      <c r="R232" s="138">
        <v>2.1349999999999998</v>
      </c>
      <c r="S232" s="139">
        <v>0.7</v>
      </c>
      <c r="T232" s="174">
        <v>329.03</v>
      </c>
      <c r="U232" s="52">
        <v>17.8</v>
      </c>
      <c r="V232" s="84">
        <f t="shared" si="18"/>
        <v>5.8150000000000007E-3</v>
      </c>
    </row>
    <row r="233" spans="2:22" x14ac:dyDescent="0.2">
      <c r="B233" s="57"/>
      <c r="C233" s="157" t="s">
        <v>68</v>
      </c>
      <c r="D233" s="157">
        <v>14.4</v>
      </c>
      <c r="E233" s="157">
        <v>11.4</v>
      </c>
      <c r="F233" s="157">
        <v>0.61599999999999999</v>
      </c>
      <c r="G233" s="157">
        <v>0.24</v>
      </c>
      <c r="H233" s="157">
        <v>3.984</v>
      </c>
      <c r="I233" s="157">
        <v>20.96</v>
      </c>
      <c r="J233" s="157">
        <v>10.199999999999999</v>
      </c>
      <c r="K233" s="158">
        <v>2.1</v>
      </c>
      <c r="L233" s="157">
        <v>2.8</v>
      </c>
      <c r="M233" s="158">
        <v>6.6</v>
      </c>
      <c r="N233" s="157">
        <v>0.128</v>
      </c>
      <c r="O233" s="157">
        <v>0</v>
      </c>
      <c r="P233" s="157">
        <v>1.2999999999999999E-2</v>
      </c>
      <c r="Q233" s="157">
        <v>6.0000000000000001E-3</v>
      </c>
      <c r="R233" s="157">
        <v>0.123</v>
      </c>
      <c r="S233" s="157">
        <v>0</v>
      </c>
      <c r="T233" s="174">
        <v>29.92</v>
      </c>
      <c r="U233" s="135">
        <v>0</v>
      </c>
      <c r="V233" s="21">
        <f>SUM(V223:V232)</f>
        <v>9.1708599999999993</v>
      </c>
    </row>
    <row r="234" spans="2:22" x14ac:dyDescent="0.2">
      <c r="B234" s="57"/>
      <c r="C234" s="157" t="s">
        <v>113</v>
      </c>
      <c r="D234" s="157">
        <v>11.2</v>
      </c>
      <c r="E234" s="157">
        <v>11.2</v>
      </c>
      <c r="F234" s="157">
        <v>0.374</v>
      </c>
      <c r="G234" s="157">
        <v>0.32200000000000001</v>
      </c>
      <c r="H234" s="175">
        <v>0</v>
      </c>
      <c r="I234" s="157">
        <v>4.4000000000000004</v>
      </c>
      <c r="J234" s="176">
        <v>4.7</v>
      </c>
      <c r="K234" s="157">
        <v>0.28000000000000003</v>
      </c>
      <c r="L234" s="157">
        <v>0.38</v>
      </c>
      <c r="M234" s="157">
        <v>3.2</v>
      </c>
      <c r="N234" s="157">
        <v>2.5999999999999999E-2</v>
      </c>
      <c r="O234" s="157">
        <v>0</v>
      </c>
      <c r="P234" s="157">
        <v>2E-3</v>
      </c>
      <c r="Q234" s="157">
        <v>3.0000000000000001E-3</v>
      </c>
      <c r="R234" s="157">
        <v>0.122</v>
      </c>
      <c r="S234" s="157">
        <v>0.04</v>
      </c>
      <c r="T234" s="174">
        <v>36.83</v>
      </c>
      <c r="U234" s="135">
        <v>0.372</v>
      </c>
      <c r="V234" s="84"/>
    </row>
    <row r="235" spans="2:22" x14ac:dyDescent="0.2">
      <c r="B235" s="57"/>
      <c r="C235" s="157" t="s">
        <v>104</v>
      </c>
      <c r="D235" s="157">
        <v>8</v>
      </c>
      <c r="E235" s="157">
        <v>8</v>
      </c>
      <c r="F235" s="157">
        <v>0</v>
      </c>
      <c r="G235" s="157">
        <v>0</v>
      </c>
      <c r="H235" s="157">
        <v>0</v>
      </c>
      <c r="I235" s="157">
        <v>0</v>
      </c>
      <c r="J235" s="157">
        <v>0</v>
      </c>
      <c r="K235" s="158">
        <v>0</v>
      </c>
      <c r="L235" s="157">
        <v>0</v>
      </c>
      <c r="M235" s="158">
        <v>0</v>
      </c>
      <c r="N235" s="157">
        <v>0</v>
      </c>
      <c r="O235" s="157">
        <v>0</v>
      </c>
      <c r="P235" s="157">
        <v>0</v>
      </c>
      <c r="Q235" s="157">
        <v>0</v>
      </c>
      <c r="R235" s="157">
        <v>0</v>
      </c>
      <c r="S235" s="157">
        <v>0</v>
      </c>
      <c r="T235" s="174">
        <v>29.92</v>
      </c>
      <c r="U235" s="135">
        <v>0.82899999999999996</v>
      </c>
      <c r="V235" s="84">
        <f>1*U252/1000</f>
        <v>0.53916999999999993</v>
      </c>
    </row>
    <row r="236" spans="2:22" x14ac:dyDescent="0.2">
      <c r="B236" s="57"/>
      <c r="C236" s="157" t="s">
        <v>76</v>
      </c>
      <c r="D236" s="157">
        <v>5</v>
      </c>
      <c r="E236" s="157">
        <v>5</v>
      </c>
      <c r="F236" s="157">
        <v>0.38500000000000001</v>
      </c>
      <c r="G236" s="157">
        <v>0.15</v>
      </c>
      <c r="H236" s="157">
        <v>2.4900000000000002</v>
      </c>
      <c r="I236" s="157">
        <v>13.1</v>
      </c>
      <c r="J236" s="157">
        <v>6.4</v>
      </c>
      <c r="K236" s="157">
        <v>1.3</v>
      </c>
      <c r="L236" s="157">
        <v>1.75</v>
      </c>
      <c r="M236" s="157">
        <v>4.2</v>
      </c>
      <c r="N236" s="157">
        <v>0.08</v>
      </c>
      <c r="O236" s="157">
        <v>0</v>
      </c>
      <c r="P236" s="157">
        <v>8.0000000000000002E-3</v>
      </c>
      <c r="Q236" s="157">
        <v>4.0000000000000001E-3</v>
      </c>
      <c r="R236" s="157">
        <v>7.6999999999999999E-2</v>
      </c>
      <c r="S236" s="157">
        <v>0</v>
      </c>
      <c r="T236" s="174">
        <v>70.400000000000006</v>
      </c>
      <c r="U236" s="135">
        <v>0.88400000000000001</v>
      </c>
      <c r="V236" s="84">
        <f>D253*U253/1000</f>
        <v>0.76454999999999995</v>
      </c>
    </row>
    <row r="237" spans="2:22" x14ac:dyDescent="0.2">
      <c r="B237" s="57"/>
      <c r="C237" s="155" t="s">
        <v>79</v>
      </c>
      <c r="D237" s="157">
        <v>2.7</v>
      </c>
      <c r="E237" s="157">
        <v>2.7</v>
      </c>
      <c r="F237" s="157">
        <v>0</v>
      </c>
      <c r="G237" s="157">
        <v>2.9969999999999999</v>
      </c>
      <c r="H237" s="157">
        <v>0</v>
      </c>
      <c r="I237" s="157">
        <v>26.97</v>
      </c>
      <c r="J237" s="157">
        <v>0</v>
      </c>
      <c r="K237" s="157">
        <v>0</v>
      </c>
      <c r="L237" s="157">
        <v>0</v>
      </c>
      <c r="M237" s="157">
        <v>0</v>
      </c>
      <c r="N237" s="157">
        <v>0</v>
      </c>
      <c r="O237" s="157">
        <v>0</v>
      </c>
      <c r="P237" s="157">
        <v>0</v>
      </c>
      <c r="Q237" s="157">
        <v>0</v>
      </c>
      <c r="R237" s="157">
        <v>0</v>
      </c>
      <c r="S237" s="157">
        <v>0</v>
      </c>
      <c r="T237" s="174">
        <v>11.13</v>
      </c>
      <c r="U237" s="135">
        <v>0.14499999999999999</v>
      </c>
      <c r="V237" s="84">
        <f>D254*U254/1000</f>
        <v>0</v>
      </c>
    </row>
    <row r="238" spans="2:22" x14ac:dyDescent="0.2">
      <c r="B238" s="57"/>
      <c r="C238" s="18" t="s">
        <v>77</v>
      </c>
      <c r="D238" s="157"/>
      <c r="E238" s="138"/>
      <c r="F238" s="141">
        <v>7.92</v>
      </c>
      <c r="G238" s="141">
        <v>9.3439999999999994</v>
      </c>
      <c r="H238" s="141">
        <v>6.4740000000000002</v>
      </c>
      <c r="I238" s="141">
        <v>142.43</v>
      </c>
      <c r="J238" s="141">
        <v>103.83</v>
      </c>
      <c r="K238" s="141">
        <v>8.56</v>
      </c>
      <c r="L238" s="141">
        <v>11.58</v>
      </c>
      <c r="M238" s="141">
        <v>69.989999999999995</v>
      </c>
      <c r="N238" s="141">
        <v>0.68899999999999995</v>
      </c>
      <c r="O238" s="141">
        <v>0.01</v>
      </c>
      <c r="P238" s="141">
        <v>5.3999999999999999E-2</v>
      </c>
      <c r="Q238" s="141">
        <v>6.6000000000000003E-2</v>
      </c>
      <c r="R238" s="142">
        <v>2.4569999999999999</v>
      </c>
      <c r="S238" s="143">
        <v>0.74</v>
      </c>
      <c r="T238" s="174"/>
      <c r="U238" s="135">
        <v>20.07</v>
      </c>
      <c r="V238" s="21">
        <f>SUM(V235:V237)</f>
        <v>1.3037199999999998</v>
      </c>
    </row>
    <row r="239" spans="2:22" x14ac:dyDescent="0.2">
      <c r="B239" s="57"/>
      <c r="C239" s="19" t="s">
        <v>128</v>
      </c>
      <c r="D239" s="84"/>
      <c r="E239" s="21">
        <v>150</v>
      </c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3"/>
      <c r="U239" s="135"/>
      <c r="V239" s="84"/>
    </row>
    <row r="240" spans="2:22" x14ac:dyDescent="0.2">
      <c r="B240" s="69" t="s">
        <v>127</v>
      </c>
      <c r="C240" s="161" t="s">
        <v>120</v>
      </c>
      <c r="D240" s="162">
        <v>213</v>
      </c>
      <c r="E240" s="162">
        <v>171</v>
      </c>
      <c r="F240" s="69">
        <f>1.8*E240/100</f>
        <v>3.0780000000000003</v>
      </c>
      <c r="G240" s="69">
        <v>0</v>
      </c>
      <c r="H240" s="69">
        <f>4.7*E240/100</f>
        <v>8.0370000000000008</v>
      </c>
      <c r="I240" s="69">
        <f>28*E240/100</f>
        <v>47.88</v>
      </c>
      <c r="J240" s="69">
        <f>300*E240/100</f>
        <v>513</v>
      </c>
      <c r="K240" s="69">
        <f>48*E240/100</f>
        <v>82.08</v>
      </c>
      <c r="L240" s="69">
        <f>16*E240/100</f>
        <v>27.36</v>
      </c>
      <c r="M240" s="69">
        <f>31*E240/100</f>
        <v>53.01</v>
      </c>
      <c r="N240" s="69">
        <v>0</v>
      </c>
      <c r="O240" s="69">
        <v>0</v>
      </c>
      <c r="P240" s="69">
        <v>0</v>
      </c>
      <c r="Q240" s="69">
        <v>0</v>
      </c>
      <c r="R240" s="70">
        <v>0</v>
      </c>
      <c r="S240" s="69">
        <f>45*E240/100</f>
        <v>76.95</v>
      </c>
      <c r="T240" s="69"/>
      <c r="U240" s="96">
        <v>35.630000000000003</v>
      </c>
      <c r="V240" s="84"/>
    </row>
    <row r="241" spans="1:23" x14ac:dyDescent="0.2">
      <c r="B241" s="69"/>
      <c r="C241" s="161" t="s">
        <v>129</v>
      </c>
      <c r="D241" s="162">
        <v>4.5</v>
      </c>
      <c r="E241" s="162">
        <v>4.5</v>
      </c>
      <c r="F241" s="84">
        <v>0</v>
      </c>
      <c r="G241" s="84">
        <v>0</v>
      </c>
      <c r="H241" s="84">
        <v>0</v>
      </c>
      <c r="I241" s="84">
        <v>0</v>
      </c>
      <c r="J241" s="84">
        <v>0</v>
      </c>
      <c r="K241" s="84">
        <v>0</v>
      </c>
      <c r="L241" s="84">
        <v>0</v>
      </c>
      <c r="M241" s="84">
        <v>0</v>
      </c>
      <c r="N241" s="84">
        <v>0</v>
      </c>
      <c r="O241" s="84">
        <v>0</v>
      </c>
      <c r="P241" s="84">
        <v>0</v>
      </c>
      <c r="Q241" s="84">
        <v>0</v>
      </c>
      <c r="R241" s="84">
        <v>0</v>
      </c>
      <c r="S241" s="84">
        <v>0</v>
      </c>
      <c r="T241" s="69"/>
      <c r="U241" s="96">
        <v>0</v>
      </c>
      <c r="V241" s="21">
        <v>34.479999999999997</v>
      </c>
    </row>
    <row r="242" spans="1:23" x14ac:dyDescent="0.2">
      <c r="B242" s="69"/>
      <c r="C242" s="161" t="s">
        <v>76</v>
      </c>
      <c r="D242" s="162">
        <v>6</v>
      </c>
      <c r="E242" s="162">
        <v>6</v>
      </c>
      <c r="F242" s="69">
        <v>0</v>
      </c>
      <c r="G242" s="69">
        <f>99.9*E242/100</f>
        <v>5.9940000000000007</v>
      </c>
      <c r="H242" s="69">
        <v>0</v>
      </c>
      <c r="I242" s="69">
        <f>899*E242/100</f>
        <v>53.94</v>
      </c>
      <c r="J242" s="85">
        <v>0</v>
      </c>
      <c r="K242" s="69">
        <v>0</v>
      </c>
      <c r="L242" s="69">
        <v>0</v>
      </c>
      <c r="M242" s="85">
        <v>0</v>
      </c>
      <c r="N242" s="69">
        <v>0</v>
      </c>
      <c r="O242" s="69">
        <v>0</v>
      </c>
      <c r="P242" s="69">
        <v>0</v>
      </c>
      <c r="Q242" s="69">
        <v>0</v>
      </c>
      <c r="R242" s="69">
        <v>0</v>
      </c>
      <c r="S242" s="69">
        <v>0</v>
      </c>
      <c r="T242" s="69"/>
      <c r="U242" s="96">
        <v>83.43</v>
      </c>
      <c r="V242" s="84"/>
    </row>
    <row r="243" spans="1:23" x14ac:dyDescent="0.2">
      <c r="B243" s="69"/>
      <c r="C243" s="161" t="s">
        <v>36</v>
      </c>
      <c r="D243" s="159">
        <v>3.6</v>
      </c>
      <c r="E243" s="162">
        <v>3.6</v>
      </c>
      <c r="F243" s="34">
        <f>4.8*E243/100</f>
        <v>0.17280000000000001</v>
      </c>
      <c r="G243" s="34">
        <v>0</v>
      </c>
      <c r="H243" s="34">
        <f>19*E243/100</f>
        <v>0.68400000000000005</v>
      </c>
      <c r="I243" s="34">
        <f>102*E243/100</f>
        <v>3.6719999999999997</v>
      </c>
      <c r="J243" s="34">
        <f>875*E243/100</f>
        <v>31.5</v>
      </c>
      <c r="K243" s="34">
        <f>20*E243/100</f>
        <v>0.72</v>
      </c>
      <c r="L243" s="34">
        <f>50*E243/100</f>
        <v>1.8</v>
      </c>
      <c r="M243" s="34">
        <f>68*E243/100</f>
        <v>2.448</v>
      </c>
      <c r="N243" s="34">
        <f>2.3*E243/100</f>
        <v>8.2799999999999999E-2</v>
      </c>
      <c r="O243" s="34">
        <v>0</v>
      </c>
      <c r="P243" s="34">
        <v>0</v>
      </c>
      <c r="Q243" s="34">
        <v>0</v>
      </c>
      <c r="R243" s="34">
        <v>0</v>
      </c>
      <c r="S243" s="34">
        <f>45*E243/100</f>
        <v>1.62</v>
      </c>
      <c r="T243" s="3"/>
      <c r="U243" s="96">
        <v>120</v>
      </c>
      <c r="V243" s="84"/>
    </row>
    <row r="244" spans="1:23" x14ac:dyDescent="0.2">
      <c r="B244" s="69"/>
      <c r="C244" s="65" t="s">
        <v>32</v>
      </c>
      <c r="D244" s="159">
        <v>4.5</v>
      </c>
      <c r="E244" s="159">
        <v>3.8</v>
      </c>
      <c r="F244" s="34">
        <f>1.3*E244/100</f>
        <v>4.9399999999999993E-2</v>
      </c>
      <c r="G244" s="34">
        <v>0</v>
      </c>
      <c r="H244" s="34">
        <f>6.9*E244/100</f>
        <v>0.26219999999999999</v>
      </c>
      <c r="I244" s="34">
        <f>35*E244/100</f>
        <v>1.33</v>
      </c>
      <c r="J244" s="34">
        <f>200*E244/100</f>
        <v>7.6</v>
      </c>
      <c r="K244" s="34">
        <f>27*E244/100</f>
        <v>1.026</v>
      </c>
      <c r="L244" s="34">
        <f>38*E244/100</f>
        <v>1.444</v>
      </c>
      <c r="M244" s="34">
        <f>55*E244/100</f>
        <v>2.09</v>
      </c>
      <c r="N244" s="34">
        <v>0</v>
      </c>
      <c r="O244" s="34">
        <v>0</v>
      </c>
      <c r="P244" s="34">
        <v>0</v>
      </c>
      <c r="Q244" s="34">
        <v>0</v>
      </c>
      <c r="R244" s="34">
        <f>1*E244/100</f>
        <v>3.7999999999999999E-2</v>
      </c>
      <c r="S244" s="34">
        <f>5*E244/100</f>
        <v>0.19</v>
      </c>
      <c r="T244" s="69"/>
      <c r="U244" s="96">
        <v>32.71</v>
      </c>
      <c r="V244" s="84"/>
    </row>
    <row r="245" spans="1:23" x14ac:dyDescent="0.2">
      <c r="B245" s="69"/>
      <c r="C245" s="65" t="s">
        <v>33</v>
      </c>
      <c r="D245" s="159">
        <v>7.5</v>
      </c>
      <c r="E245" s="159">
        <v>6</v>
      </c>
      <c r="F245" s="69">
        <f>1.4*E245/100</f>
        <v>8.3999999999999991E-2</v>
      </c>
      <c r="G245" s="157">
        <v>0</v>
      </c>
      <c r="H245" s="157">
        <f>8.2*E245/100</f>
        <v>0.49199999999999994</v>
      </c>
      <c r="I245" s="157">
        <f>41*E245/100</f>
        <v>2.46</v>
      </c>
      <c r="J245" s="158">
        <f>175*E245/100</f>
        <v>10.5</v>
      </c>
      <c r="K245" s="157">
        <f>31*E245/100</f>
        <v>1.86</v>
      </c>
      <c r="L245" s="157">
        <f>14*E245/100</f>
        <v>0.84</v>
      </c>
      <c r="M245" s="158">
        <f>58*E245/100</f>
        <v>3.48</v>
      </c>
      <c r="N245" s="157">
        <v>0</v>
      </c>
      <c r="O245" s="157">
        <v>0</v>
      </c>
      <c r="P245" s="157">
        <v>0</v>
      </c>
      <c r="Q245" s="157">
        <v>0</v>
      </c>
      <c r="R245" s="157">
        <v>0</v>
      </c>
      <c r="S245" s="157">
        <f>10*E245/100</f>
        <v>0.6</v>
      </c>
      <c r="T245" s="69"/>
      <c r="U245" s="96">
        <v>29.62</v>
      </c>
      <c r="V245" s="96">
        <v>1.7250000000000001</v>
      </c>
    </row>
    <row r="246" spans="1:23" x14ac:dyDescent="0.2">
      <c r="B246" s="69"/>
      <c r="C246" s="65" t="s">
        <v>39</v>
      </c>
      <c r="D246" s="159">
        <v>1.2E-2</v>
      </c>
      <c r="E246" s="159">
        <v>1.2E-2</v>
      </c>
      <c r="F246" s="69">
        <v>0</v>
      </c>
      <c r="G246" s="69">
        <v>0</v>
      </c>
      <c r="H246" s="69">
        <v>0</v>
      </c>
      <c r="I246" s="69">
        <v>0</v>
      </c>
      <c r="J246" s="86">
        <v>0</v>
      </c>
      <c r="K246" s="69">
        <v>0</v>
      </c>
      <c r="L246" s="69">
        <v>0</v>
      </c>
      <c r="M246" s="85">
        <v>0</v>
      </c>
      <c r="N246" s="69">
        <v>0</v>
      </c>
      <c r="O246" s="69">
        <v>0</v>
      </c>
      <c r="P246" s="69">
        <v>0</v>
      </c>
      <c r="Q246" s="69">
        <v>0</v>
      </c>
      <c r="R246" s="70">
        <v>0</v>
      </c>
      <c r="S246" s="69">
        <v>0</v>
      </c>
      <c r="T246" s="69"/>
      <c r="U246" s="96">
        <v>300</v>
      </c>
      <c r="V246" s="96">
        <v>1.14432</v>
      </c>
    </row>
    <row r="247" spans="1:23" x14ac:dyDescent="0.2">
      <c r="B247" s="69"/>
      <c r="C247" s="65" t="s">
        <v>38</v>
      </c>
      <c r="D247" s="159">
        <v>1.5</v>
      </c>
      <c r="E247" s="159">
        <v>1.5</v>
      </c>
      <c r="F247" s="69">
        <f>10.3*E247/100</f>
        <v>0.1545</v>
      </c>
      <c r="G247" s="69">
        <f>1.1*E247/100</f>
        <v>1.6500000000000001E-2</v>
      </c>
      <c r="H247" s="69">
        <f>69*E247/100</f>
        <v>1.0349999999999999</v>
      </c>
      <c r="I247" s="69">
        <f>334*E247/100</f>
        <v>5.01</v>
      </c>
      <c r="J247" s="85">
        <f>176*E247/100</f>
        <v>2.64</v>
      </c>
      <c r="K247" s="69">
        <f>24*E247/100</f>
        <v>0.36</v>
      </c>
      <c r="L247" s="69">
        <f>44*E247/100</f>
        <v>0.66</v>
      </c>
      <c r="M247" s="85">
        <f>115*E247/100</f>
        <v>1.7250000000000001</v>
      </c>
      <c r="N247" s="69">
        <f>2.1*E247/100</f>
        <v>3.15E-2</v>
      </c>
      <c r="O247" s="69">
        <v>0</v>
      </c>
      <c r="P247" s="69">
        <v>0</v>
      </c>
      <c r="Q247" s="69">
        <v>0</v>
      </c>
      <c r="R247" s="69">
        <v>0</v>
      </c>
      <c r="S247" s="69">
        <v>0</v>
      </c>
      <c r="T247" s="69"/>
      <c r="U247" s="96">
        <v>27.31</v>
      </c>
      <c r="V247" s="96">
        <v>0.34599999999999997</v>
      </c>
    </row>
    <row r="248" spans="1:23" s="26" customFormat="1" ht="24" customHeight="1" x14ac:dyDescent="0.2">
      <c r="B248" s="69"/>
      <c r="C248" s="65" t="s">
        <v>30</v>
      </c>
      <c r="D248" s="159">
        <v>4.5</v>
      </c>
      <c r="E248" s="159">
        <v>4.5</v>
      </c>
      <c r="F248" s="84">
        <v>0</v>
      </c>
      <c r="G248" s="84">
        <v>0</v>
      </c>
      <c r="H248" s="84">
        <f>99.8*E248/100</f>
        <v>4.4909999999999997</v>
      </c>
      <c r="I248" s="84">
        <f>379*E248/100</f>
        <v>17.055</v>
      </c>
      <c r="J248" s="84">
        <f>3*E248/100</f>
        <v>0.13500000000000001</v>
      </c>
      <c r="K248" s="84">
        <f>2*E248/100</f>
        <v>0.09</v>
      </c>
      <c r="L248" s="84">
        <v>0</v>
      </c>
      <c r="M248" s="84">
        <v>0</v>
      </c>
      <c r="N248" s="84">
        <v>0</v>
      </c>
      <c r="O248" s="84">
        <v>0</v>
      </c>
      <c r="P248" s="84">
        <v>0</v>
      </c>
      <c r="Q248" s="84">
        <v>0</v>
      </c>
      <c r="R248" s="84">
        <v>0</v>
      </c>
      <c r="S248" s="84">
        <v>0</v>
      </c>
      <c r="T248" s="69"/>
      <c r="U248" s="96">
        <v>50.97</v>
      </c>
      <c r="V248" s="96">
        <v>0.32860800000000001</v>
      </c>
    </row>
    <row r="249" spans="1:23" s="26" customFormat="1" x14ac:dyDescent="0.2">
      <c r="B249" s="69"/>
      <c r="C249" s="65" t="s">
        <v>46</v>
      </c>
      <c r="D249" s="159">
        <v>0.5</v>
      </c>
      <c r="E249" s="159">
        <v>0.5</v>
      </c>
      <c r="F249" s="69">
        <v>0</v>
      </c>
      <c r="G249" s="69">
        <v>0</v>
      </c>
      <c r="H249" s="69">
        <v>0</v>
      </c>
      <c r="I249" s="69">
        <v>0</v>
      </c>
      <c r="J249" s="69">
        <v>0</v>
      </c>
      <c r="K249" s="69">
        <v>0</v>
      </c>
      <c r="L249" s="69">
        <v>0</v>
      </c>
      <c r="M249" s="69">
        <v>0</v>
      </c>
      <c r="N249" s="69">
        <v>0</v>
      </c>
      <c r="O249" s="69">
        <v>0</v>
      </c>
      <c r="P249" s="69">
        <v>0</v>
      </c>
      <c r="Q249" s="69">
        <v>0</v>
      </c>
      <c r="R249" s="70">
        <v>0</v>
      </c>
      <c r="S249" s="69">
        <v>0</v>
      </c>
      <c r="T249" s="69"/>
      <c r="U249" s="96">
        <v>11.63</v>
      </c>
      <c r="V249" s="96">
        <v>0.105918</v>
      </c>
    </row>
    <row r="250" spans="1:23" s="26" customFormat="1" ht="28.5" customHeight="1" x14ac:dyDescent="0.2">
      <c r="B250" s="69"/>
      <c r="C250" s="90" t="s">
        <v>77</v>
      </c>
      <c r="D250" s="130"/>
      <c r="E250" s="130"/>
      <c r="F250" s="3">
        <f>SUM(F240:F249)</f>
        <v>3.5387000000000004</v>
      </c>
      <c r="G250" s="3">
        <f t="shared" ref="G250:S250" si="19">SUM(G240:G249)</f>
        <v>6.0105000000000004</v>
      </c>
      <c r="H250" s="3">
        <f t="shared" si="19"/>
        <v>15.001199999999999</v>
      </c>
      <c r="I250" s="3">
        <f t="shared" si="19"/>
        <v>131.34699999999998</v>
      </c>
      <c r="J250" s="3">
        <f t="shared" si="19"/>
        <v>565.375</v>
      </c>
      <c r="K250" s="3">
        <f t="shared" si="19"/>
        <v>86.135999999999996</v>
      </c>
      <c r="L250" s="3">
        <f t="shared" si="19"/>
        <v>32.103999999999999</v>
      </c>
      <c r="M250" s="3">
        <f t="shared" si="19"/>
        <v>62.753</v>
      </c>
      <c r="N250" s="3">
        <f t="shared" si="19"/>
        <v>0.1143</v>
      </c>
      <c r="O250" s="3">
        <f t="shared" si="19"/>
        <v>0</v>
      </c>
      <c r="P250" s="3">
        <f t="shared" si="19"/>
        <v>0</v>
      </c>
      <c r="Q250" s="3">
        <f t="shared" si="19"/>
        <v>0</v>
      </c>
      <c r="R250" s="3">
        <f t="shared" si="19"/>
        <v>3.7999999999999999E-2</v>
      </c>
      <c r="S250" s="3">
        <f t="shared" si="19"/>
        <v>79.36</v>
      </c>
      <c r="T250" s="69"/>
      <c r="U250" s="96"/>
      <c r="V250" s="96">
        <v>0.28160000000000002</v>
      </c>
    </row>
    <row r="251" spans="1:23" s="26" customFormat="1" x14ac:dyDescent="0.2">
      <c r="B251" s="69"/>
      <c r="C251" s="5" t="s">
        <v>74</v>
      </c>
      <c r="D251" s="313" t="s">
        <v>75</v>
      </c>
      <c r="E251" s="314"/>
      <c r="F251" s="4"/>
      <c r="G251" s="4"/>
      <c r="H251" s="4"/>
      <c r="I251" s="4"/>
      <c r="J251" s="11"/>
      <c r="K251" s="4"/>
      <c r="L251" s="4"/>
      <c r="M251" s="11"/>
      <c r="N251" s="4"/>
      <c r="O251" s="4"/>
      <c r="P251" s="4"/>
      <c r="Q251" s="4"/>
      <c r="R251" s="51"/>
      <c r="S251" s="4"/>
      <c r="T251" s="69"/>
      <c r="U251" s="96"/>
      <c r="V251" s="96">
        <v>2.2259999999999999E-2</v>
      </c>
    </row>
    <row r="252" spans="1:23" s="26" customFormat="1" x14ac:dyDescent="0.2">
      <c r="B252" s="69" t="s">
        <v>73</v>
      </c>
      <c r="C252" s="65" t="s">
        <v>40</v>
      </c>
      <c r="D252" s="159">
        <v>50</v>
      </c>
      <c r="E252" s="159">
        <v>50</v>
      </c>
      <c r="F252" s="69">
        <v>0.1</v>
      </c>
      <c r="G252" s="69">
        <v>0</v>
      </c>
      <c r="H252" s="69">
        <v>0</v>
      </c>
      <c r="I252" s="69">
        <v>0.8</v>
      </c>
      <c r="J252" s="85">
        <v>12.4</v>
      </c>
      <c r="K252" s="69">
        <v>2.5</v>
      </c>
      <c r="L252" s="69">
        <v>2.2000000000000002</v>
      </c>
      <c r="M252" s="85">
        <v>4.12</v>
      </c>
      <c r="N252" s="69">
        <v>0.4</v>
      </c>
      <c r="O252" s="69">
        <v>0</v>
      </c>
      <c r="P252" s="69">
        <v>0</v>
      </c>
      <c r="Q252" s="69">
        <v>0</v>
      </c>
      <c r="R252" s="70">
        <v>0</v>
      </c>
      <c r="S252" s="69">
        <v>0</v>
      </c>
      <c r="T252" s="69"/>
      <c r="U252" s="96">
        <v>539.16999999999996</v>
      </c>
      <c r="V252" s="32">
        <v>2.3999999999999998E-3</v>
      </c>
    </row>
    <row r="253" spans="1:23" s="67" customFormat="1" x14ac:dyDescent="0.2">
      <c r="A253" s="154"/>
      <c r="B253" s="69"/>
      <c r="C253" s="65" t="s">
        <v>30</v>
      </c>
      <c r="D253" s="159">
        <v>15</v>
      </c>
      <c r="E253" s="159">
        <v>15</v>
      </c>
      <c r="F253" s="69">
        <v>0</v>
      </c>
      <c r="G253" s="69">
        <v>0</v>
      </c>
      <c r="H253" s="69">
        <v>15</v>
      </c>
      <c r="I253" s="69">
        <v>56.9</v>
      </c>
      <c r="J253" s="85">
        <v>0.5</v>
      </c>
      <c r="K253" s="69">
        <v>0.4</v>
      </c>
      <c r="L253" s="69">
        <v>0</v>
      </c>
      <c r="M253" s="85">
        <v>0</v>
      </c>
      <c r="N253" s="69">
        <v>0</v>
      </c>
      <c r="O253" s="69">
        <v>0</v>
      </c>
      <c r="P253" s="69">
        <v>0</v>
      </c>
      <c r="Q253" s="69">
        <v>0</v>
      </c>
      <c r="R253" s="70">
        <v>0</v>
      </c>
      <c r="S253" s="69">
        <v>0</v>
      </c>
      <c r="T253" s="69"/>
      <c r="U253" s="96">
        <v>50.97</v>
      </c>
      <c r="V253" s="32">
        <v>0</v>
      </c>
      <c r="W253" s="154"/>
    </row>
    <row r="254" spans="1:23" x14ac:dyDescent="0.2">
      <c r="B254" s="69"/>
      <c r="C254" s="65" t="s">
        <v>35</v>
      </c>
      <c r="D254" s="159">
        <v>150</v>
      </c>
      <c r="E254" s="159">
        <v>150</v>
      </c>
      <c r="F254" s="69">
        <v>0</v>
      </c>
      <c r="G254" s="69">
        <v>0</v>
      </c>
      <c r="H254" s="69">
        <v>0</v>
      </c>
      <c r="I254" s="69">
        <v>0</v>
      </c>
      <c r="J254" s="69">
        <v>0</v>
      </c>
      <c r="K254" s="69">
        <v>0</v>
      </c>
      <c r="L254" s="69">
        <v>0</v>
      </c>
      <c r="M254" s="69">
        <v>0</v>
      </c>
      <c r="N254" s="69">
        <v>0</v>
      </c>
      <c r="O254" s="69">
        <v>0</v>
      </c>
      <c r="P254" s="69">
        <v>0</v>
      </c>
      <c r="Q254" s="69">
        <v>0</v>
      </c>
      <c r="R254" s="70">
        <v>0</v>
      </c>
      <c r="S254" s="69">
        <v>0</v>
      </c>
      <c r="T254" s="69"/>
      <c r="U254" s="96">
        <v>0</v>
      </c>
      <c r="V254" s="96">
        <v>0</v>
      </c>
    </row>
    <row r="255" spans="1:23" x14ac:dyDescent="0.2">
      <c r="B255" s="69"/>
      <c r="C255" s="39" t="s">
        <v>47</v>
      </c>
      <c r="D255" s="3"/>
      <c r="E255" s="3"/>
      <c r="F255" s="3">
        <f t="shared" ref="F255:S255" si="20">SUM(F252:F254)</f>
        <v>0.1</v>
      </c>
      <c r="G255" s="3">
        <f t="shared" si="20"/>
        <v>0</v>
      </c>
      <c r="H255" s="3">
        <f t="shared" si="20"/>
        <v>15</v>
      </c>
      <c r="I255" s="3">
        <f t="shared" si="20"/>
        <v>57.699999999999996</v>
      </c>
      <c r="J255" s="3">
        <f t="shared" si="20"/>
        <v>12.9</v>
      </c>
      <c r="K255" s="3">
        <f t="shared" si="20"/>
        <v>2.9</v>
      </c>
      <c r="L255" s="3">
        <f t="shared" si="20"/>
        <v>2.2000000000000002</v>
      </c>
      <c r="M255" s="3">
        <f t="shared" si="20"/>
        <v>4.12</v>
      </c>
      <c r="N255" s="3">
        <f t="shared" si="20"/>
        <v>0.4</v>
      </c>
      <c r="O255" s="3">
        <f t="shared" si="20"/>
        <v>0</v>
      </c>
      <c r="P255" s="3">
        <f t="shared" si="20"/>
        <v>0</v>
      </c>
      <c r="Q255" s="3">
        <f t="shared" si="20"/>
        <v>0</v>
      </c>
      <c r="R255" s="50">
        <f t="shared" si="20"/>
        <v>0</v>
      </c>
      <c r="S255" s="3">
        <f t="shared" si="20"/>
        <v>0</v>
      </c>
      <c r="T255" s="3"/>
      <c r="U255" s="32"/>
      <c r="V255" s="84">
        <v>0</v>
      </c>
    </row>
    <row r="256" spans="1:23" ht="25.5" x14ac:dyDescent="0.2">
      <c r="B256" s="69"/>
      <c r="C256" s="5" t="s">
        <v>105</v>
      </c>
      <c r="D256" s="69">
        <v>30</v>
      </c>
      <c r="E256" s="3">
        <v>30</v>
      </c>
      <c r="F256" s="69">
        <v>1.54</v>
      </c>
      <c r="G256" s="69">
        <v>0.6</v>
      </c>
      <c r="H256" s="69">
        <v>9.9600000000000009</v>
      </c>
      <c r="I256" s="69">
        <v>52.4</v>
      </c>
      <c r="J256" s="69">
        <v>25.4</v>
      </c>
      <c r="K256" s="69">
        <v>5.2</v>
      </c>
      <c r="L256" s="69">
        <v>7</v>
      </c>
      <c r="M256" s="69">
        <v>16.600000000000001</v>
      </c>
      <c r="N256" s="69">
        <v>0.32</v>
      </c>
      <c r="O256" s="69">
        <v>0</v>
      </c>
      <c r="P256" s="69">
        <v>3.2000000000000001E-2</v>
      </c>
      <c r="Q256" s="69">
        <v>1.6E-2</v>
      </c>
      <c r="R256" s="70">
        <v>0.308</v>
      </c>
      <c r="S256" s="69">
        <v>0</v>
      </c>
      <c r="T256" s="69">
        <v>29.29</v>
      </c>
      <c r="U256" s="96">
        <v>0.58584000000000003</v>
      </c>
      <c r="V256" s="21">
        <v>3.96</v>
      </c>
    </row>
    <row r="257" spans="2:22" x14ac:dyDescent="0.2">
      <c r="B257" s="69" t="s">
        <v>24</v>
      </c>
      <c r="C257" s="5" t="s">
        <v>106</v>
      </c>
      <c r="D257" s="69">
        <v>20</v>
      </c>
      <c r="E257" s="69">
        <v>20</v>
      </c>
      <c r="F257" s="69">
        <v>1.32</v>
      </c>
      <c r="G257" s="69">
        <v>0.24</v>
      </c>
      <c r="H257" s="69">
        <v>6.84</v>
      </c>
      <c r="I257" s="69">
        <v>36.200000000000003</v>
      </c>
      <c r="J257" s="69">
        <v>18.8</v>
      </c>
      <c r="K257" s="69">
        <v>6.8</v>
      </c>
      <c r="L257" s="69">
        <v>8.1999999999999993</v>
      </c>
      <c r="M257" s="69">
        <v>24</v>
      </c>
      <c r="N257" s="69">
        <v>0.46</v>
      </c>
      <c r="O257" s="69">
        <v>0</v>
      </c>
      <c r="P257" s="69">
        <v>2.1999999999999999E-2</v>
      </c>
      <c r="Q257" s="69">
        <v>1.6E-2</v>
      </c>
      <c r="R257" s="70">
        <v>0.128</v>
      </c>
      <c r="S257" s="69">
        <v>0</v>
      </c>
      <c r="T257" s="69">
        <v>35.9</v>
      </c>
      <c r="U257" s="96">
        <v>0.71799999999999997</v>
      </c>
      <c r="V257" s="84"/>
    </row>
    <row r="258" spans="2:22" ht="17.25" customHeight="1" x14ac:dyDescent="0.2">
      <c r="B258" s="69" t="s">
        <v>24</v>
      </c>
      <c r="C258" s="5" t="s">
        <v>25</v>
      </c>
      <c r="D258" s="69"/>
      <c r="E258" s="69"/>
      <c r="F258" s="3">
        <v>31.069400000000002</v>
      </c>
      <c r="G258" s="3">
        <v>30.939299999999999</v>
      </c>
      <c r="H258" s="3">
        <v>107.2024</v>
      </c>
      <c r="I258" s="3">
        <v>781.80960000000005</v>
      </c>
      <c r="J258" s="3">
        <v>710.69899999999996</v>
      </c>
      <c r="K258" s="3">
        <v>65.001999999999995</v>
      </c>
      <c r="L258" s="3">
        <v>68.805999999999997</v>
      </c>
      <c r="M258" s="3">
        <v>254.53200000000001</v>
      </c>
      <c r="N258" s="3">
        <v>7.3377999999999997</v>
      </c>
      <c r="O258" s="3">
        <v>8.2750000000000004E-2</v>
      </c>
      <c r="P258" s="3">
        <v>0.29818</v>
      </c>
      <c r="Q258" s="3">
        <v>0.25728299999999998</v>
      </c>
      <c r="R258" s="50">
        <v>4.6688000000000001</v>
      </c>
      <c r="S258" s="3">
        <v>14.24</v>
      </c>
      <c r="T258" s="3"/>
      <c r="U258" s="32">
        <v>34.479999999999997</v>
      </c>
      <c r="V258" s="84">
        <f>E275*U275/1000</f>
        <v>17.804116</v>
      </c>
    </row>
    <row r="259" spans="2:22" x14ac:dyDescent="0.2">
      <c r="B259" s="69"/>
      <c r="C259" s="130" t="s">
        <v>61</v>
      </c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70"/>
      <c r="S259" s="69"/>
      <c r="T259" s="69"/>
      <c r="U259" s="96"/>
      <c r="V259" s="84">
        <v>0</v>
      </c>
    </row>
    <row r="260" spans="2:22" x14ac:dyDescent="0.2">
      <c r="B260" s="69"/>
      <c r="C260" s="130" t="s">
        <v>1</v>
      </c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70"/>
      <c r="S260" s="69"/>
      <c r="T260" s="69"/>
      <c r="U260" s="96"/>
      <c r="V260" s="84">
        <f>D277*U277/1000</f>
        <v>0.37243799999999999</v>
      </c>
    </row>
    <row r="261" spans="2:22" ht="25.5" x14ac:dyDescent="0.2">
      <c r="B261" s="69"/>
      <c r="C261" s="18" t="s">
        <v>48</v>
      </c>
      <c r="D261" s="3"/>
      <c r="E261" s="3">
        <v>200</v>
      </c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69"/>
      <c r="U261" s="96"/>
      <c r="V261" s="84">
        <f>D278*U278/1000</f>
        <v>0.82935999999999999</v>
      </c>
    </row>
    <row r="262" spans="2:22" ht="12.75" customHeight="1" x14ac:dyDescent="0.2">
      <c r="B262" s="69" t="s">
        <v>2</v>
      </c>
      <c r="C262" s="155" t="s">
        <v>41</v>
      </c>
      <c r="D262" s="69">
        <v>40</v>
      </c>
      <c r="E262" s="69">
        <v>32</v>
      </c>
      <c r="F262" s="69">
        <v>0.48</v>
      </c>
      <c r="G262" s="69">
        <v>3.2000000000000001E-2</v>
      </c>
      <c r="H262" s="69">
        <v>2.8159999999999998</v>
      </c>
      <c r="I262" s="69">
        <v>13.44</v>
      </c>
      <c r="J262" s="69">
        <v>92.16</v>
      </c>
      <c r="K262" s="69">
        <v>11.84</v>
      </c>
      <c r="L262" s="69">
        <v>7.04</v>
      </c>
      <c r="M262" s="69">
        <v>13.76</v>
      </c>
      <c r="N262" s="69">
        <v>0.44800000000000001</v>
      </c>
      <c r="O262" s="69">
        <v>0</v>
      </c>
      <c r="P262" s="69">
        <v>6.4000000000000003E-3</v>
      </c>
      <c r="Q262" s="69">
        <v>1.2800000000000001E-2</v>
      </c>
      <c r="R262" s="69">
        <v>6.4000000000000001E-2</v>
      </c>
      <c r="S262" s="69">
        <v>3.2</v>
      </c>
      <c r="T262" s="69">
        <v>27.82</v>
      </c>
      <c r="U262" s="96">
        <v>1.1128</v>
      </c>
      <c r="V262" s="84">
        <f>D279*U279/1000</f>
        <v>0.88435800000000009</v>
      </c>
    </row>
    <row r="263" spans="2:22" ht="14.25" customHeight="1" x14ac:dyDescent="0.2">
      <c r="B263" s="69"/>
      <c r="C263" s="155" t="s">
        <v>42</v>
      </c>
      <c r="D263" s="69">
        <v>20</v>
      </c>
      <c r="E263" s="69">
        <v>16</v>
      </c>
      <c r="F263" s="69">
        <v>0.36</v>
      </c>
      <c r="G263" s="69">
        <v>0.02</v>
      </c>
      <c r="H263" s="69">
        <v>0.94</v>
      </c>
      <c r="I263" s="69">
        <v>5.6</v>
      </c>
      <c r="J263" s="86">
        <v>60</v>
      </c>
      <c r="K263" s="69">
        <v>9.6</v>
      </c>
      <c r="L263" s="69">
        <v>3.2</v>
      </c>
      <c r="M263" s="85">
        <v>6.2</v>
      </c>
      <c r="N263" s="69">
        <v>1.2E-2</v>
      </c>
      <c r="O263" s="69">
        <v>0</v>
      </c>
      <c r="P263" s="69">
        <v>6.0000000000000001E-3</v>
      </c>
      <c r="Q263" s="69">
        <v>8.0000000000000002E-3</v>
      </c>
      <c r="R263" s="69">
        <v>0.14000000000000001</v>
      </c>
      <c r="S263" s="69">
        <v>9</v>
      </c>
      <c r="T263" s="69">
        <v>34.5</v>
      </c>
      <c r="U263" s="96">
        <v>0.69</v>
      </c>
      <c r="V263" s="84">
        <f>D280*U280/1000</f>
        <v>0.14474299999999998</v>
      </c>
    </row>
    <row r="264" spans="2:22" x14ac:dyDescent="0.2">
      <c r="B264" s="69"/>
      <c r="C264" s="155" t="s">
        <v>31</v>
      </c>
      <c r="D264" s="69">
        <v>21.4</v>
      </c>
      <c r="E264" s="69">
        <v>16</v>
      </c>
      <c r="F264" s="69">
        <v>0.32</v>
      </c>
      <c r="G264" s="69">
        <v>6.4000000000000001E-2</v>
      </c>
      <c r="H264" s="69">
        <v>2.6080000000000001</v>
      </c>
      <c r="I264" s="69">
        <v>12.32</v>
      </c>
      <c r="J264" s="69">
        <v>90.88</v>
      </c>
      <c r="K264" s="69">
        <v>1.6</v>
      </c>
      <c r="L264" s="69">
        <v>3.68</v>
      </c>
      <c r="M264" s="69">
        <v>9.2799999999999994</v>
      </c>
      <c r="N264" s="69">
        <v>0.14399999999999999</v>
      </c>
      <c r="O264" s="69">
        <v>0</v>
      </c>
      <c r="P264" s="69">
        <v>1.9199999999999998E-2</v>
      </c>
      <c r="Q264" s="69">
        <v>1.12E-2</v>
      </c>
      <c r="R264" s="69">
        <v>0.20799999999999999</v>
      </c>
      <c r="S264" s="69">
        <v>3.2</v>
      </c>
      <c r="T264" s="69">
        <v>35.76</v>
      </c>
      <c r="U264" s="96">
        <v>0.76526400000000006</v>
      </c>
      <c r="V264" s="84">
        <f>D281*U281/1000</f>
        <v>3.4889999999999997E-2</v>
      </c>
    </row>
    <row r="265" spans="2:22" x14ac:dyDescent="0.2">
      <c r="B265" s="69"/>
      <c r="C265" s="155" t="s">
        <v>32</v>
      </c>
      <c r="D265" s="69">
        <v>12.6</v>
      </c>
      <c r="E265" s="69">
        <v>10</v>
      </c>
      <c r="F265" s="69">
        <v>0.13</v>
      </c>
      <c r="G265" s="69">
        <v>0.01</v>
      </c>
      <c r="H265" s="69">
        <v>0.69</v>
      </c>
      <c r="I265" s="69">
        <v>3.5</v>
      </c>
      <c r="J265" s="69">
        <v>20</v>
      </c>
      <c r="K265" s="69">
        <v>2.7</v>
      </c>
      <c r="L265" s="69">
        <v>3.8</v>
      </c>
      <c r="M265" s="69">
        <v>5.5</v>
      </c>
      <c r="N265" s="69">
        <v>7.0000000000000007E-2</v>
      </c>
      <c r="O265" s="69">
        <v>0</v>
      </c>
      <c r="P265" s="69">
        <v>6.0000000000000001E-3</v>
      </c>
      <c r="Q265" s="69">
        <v>7.0000000000000001E-3</v>
      </c>
      <c r="R265" s="69">
        <v>0.1</v>
      </c>
      <c r="S265" s="69">
        <v>0.5</v>
      </c>
      <c r="T265" s="69">
        <v>34.6</v>
      </c>
      <c r="U265" s="96">
        <v>0.43596000000000001</v>
      </c>
      <c r="V265" s="21">
        <f>SUM(V258:V264)</f>
        <v>20.069904999999999</v>
      </c>
    </row>
    <row r="266" spans="2:22" s="26" customFormat="1" x14ac:dyDescent="0.2">
      <c r="B266" s="69"/>
      <c r="C266" s="155" t="s">
        <v>33</v>
      </c>
      <c r="D266" s="69">
        <v>9.6</v>
      </c>
      <c r="E266" s="69">
        <v>8</v>
      </c>
      <c r="F266" s="69">
        <v>0.104</v>
      </c>
      <c r="G266" s="69">
        <v>8.0000000000000002E-3</v>
      </c>
      <c r="H266" s="69">
        <v>0.55200000000000005</v>
      </c>
      <c r="I266" s="69">
        <v>2.8</v>
      </c>
      <c r="J266" s="85">
        <v>16</v>
      </c>
      <c r="K266" s="69">
        <v>2.16</v>
      </c>
      <c r="L266" s="69">
        <v>3.04</v>
      </c>
      <c r="M266" s="69">
        <v>4.4000000000000004</v>
      </c>
      <c r="N266" s="69">
        <v>5.6000000000000001E-2</v>
      </c>
      <c r="O266" s="69">
        <v>0</v>
      </c>
      <c r="P266" s="69">
        <v>4.7999999999999996E-3</v>
      </c>
      <c r="Q266" s="69">
        <v>5.5999999999999999E-3</v>
      </c>
      <c r="R266" s="69">
        <v>0.08</v>
      </c>
      <c r="S266" s="69">
        <v>0.4</v>
      </c>
      <c r="T266" s="69">
        <v>34.229999999999997</v>
      </c>
      <c r="U266" s="96">
        <v>0.32860800000000001</v>
      </c>
      <c r="V266" s="84"/>
    </row>
    <row r="267" spans="2:22" s="26" customFormat="1" x14ac:dyDescent="0.2">
      <c r="B267" s="69"/>
      <c r="C267" s="155" t="s">
        <v>36</v>
      </c>
      <c r="D267" s="69">
        <v>2.4</v>
      </c>
      <c r="E267" s="69">
        <v>2.4</v>
      </c>
      <c r="F267" s="69">
        <v>0.1152</v>
      </c>
      <c r="G267" s="69">
        <v>0</v>
      </c>
      <c r="H267" s="69">
        <v>0.45600000000000002</v>
      </c>
      <c r="I267" s="69">
        <v>2.448</v>
      </c>
      <c r="J267" s="86">
        <v>21</v>
      </c>
      <c r="K267" s="69">
        <v>0.48</v>
      </c>
      <c r="L267" s="69">
        <v>1.2</v>
      </c>
      <c r="M267" s="87">
        <v>16.32</v>
      </c>
      <c r="N267" s="69">
        <v>5.5199999999999999E-2</v>
      </c>
      <c r="O267" s="69">
        <v>0</v>
      </c>
      <c r="P267" s="69">
        <v>3.5999999999999999E-3</v>
      </c>
      <c r="Q267" s="69">
        <v>4.0800000000000003E-3</v>
      </c>
      <c r="R267" s="69">
        <v>4.5600000000000002E-2</v>
      </c>
      <c r="S267" s="69">
        <v>1.08</v>
      </c>
      <c r="T267" s="69">
        <v>176.53</v>
      </c>
      <c r="U267" s="96">
        <v>0.42367199999999999</v>
      </c>
      <c r="V267" s="84">
        <v>0</v>
      </c>
    </row>
    <row r="268" spans="2:22" s="26" customFormat="1" ht="25.5" x14ac:dyDescent="0.2">
      <c r="B268" s="69"/>
      <c r="C268" s="155" t="s">
        <v>34</v>
      </c>
      <c r="D268" s="69">
        <v>4</v>
      </c>
      <c r="E268" s="69">
        <v>4</v>
      </c>
      <c r="F268" s="69">
        <v>0</v>
      </c>
      <c r="G268" s="69">
        <v>3.996</v>
      </c>
      <c r="H268" s="69">
        <v>0</v>
      </c>
      <c r="I268" s="69">
        <v>35.96</v>
      </c>
      <c r="J268" s="69">
        <v>0</v>
      </c>
      <c r="K268" s="69">
        <v>0</v>
      </c>
      <c r="L268" s="69">
        <v>0</v>
      </c>
      <c r="M268" s="69">
        <v>0</v>
      </c>
      <c r="N268" s="69">
        <v>0</v>
      </c>
      <c r="O268" s="69">
        <v>0</v>
      </c>
      <c r="P268" s="69">
        <v>0</v>
      </c>
      <c r="Q268" s="69">
        <v>0</v>
      </c>
      <c r="R268" s="69">
        <v>0</v>
      </c>
      <c r="S268" s="69">
        <v>0</v>
      </c>
      <c r="T268" s="69">
        <v>70.400000000000006</v>
      </c>
      <c r="U268" s="96">
        <v>0.28160000000000002</v>
      </c>
      <c r="V268" s="84">
        <f t="shared" ref="V268:V275" si="21">D285*U285/1000</f>
        <v>0.20857500000000001</v>
      </c>
    </row>
    <row r="269" spans="2:22" s="26" customFormat="1" x14ac:dyDescent="0.2">
      <c r="B269" s="69"/>
      <c r="C269" s="155" t="s">
        <v>30</v>
      </c>
      <c r="D269" s="69">
        <v>2</v>
      </c>
      <c r="E269" s="69">
        <v>2</v>
      </c>
      <c r="F269" s="69">
        <v>0</v>
      </c>
      <c r="G269" s="69">
        <v>0</v>
      </c>
      <c r="H269" s="69">
        <v>1.996</v>
      </c>
      <c r="I269" s="69">
        <v>7.58</v>
      </c>
      <c r="J269" s="69">
        <v>0.06</v>
      </c>
      <c r="K269" s="69">
        <v>0.04</v>
      </c>
      <c r="L269" s="69">
        <v>0</v>
      </c>
      <c r="M269" s="69">
        <v>6.0000000000000001E-3</v>
      </c>
      <c r="N269" s="69">
        <v>6.0000000000000001E-3</v>
      </c>
      <c r="O269" s="69">
        <v>0</v>
      </c>
      <c r="P269" s="69">
        <v>0</v>
      </c>
      <c r="Q269" s="69">
        <v>0</v>
      </c>
      <c r="R269" s="69">
        <v>0</v>
      </c>
      <c r="S269" s="69">
        <v>0</v>
      </c>
      <c r="T269" s="3">
        <v>35.159999999999997</v>
      </c>
      <c r="U269" s="96">
        <v>7.0319999999999994E-2</v>
      </c>
      <c r="V269" s="84">
        <f t="shared" si="21"/>
        <v>6.8274999999999988E-2</v>
      </c>
    </row>
    <row r="270" spans="2:22" s="26" customFormat="1" x14ac:dyDescent="0.2">
      <c r="B270" s="69"/>
      <c r="C270" s="5" t="s">
        <v>46</v>
      </c>
      <c r="D270" s="3">
        <v>2</v>
      </c>
      <c r="E270" s="3">
        <v>2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50">
        <v>0</v>
      </c>
      <c r="S270" s="3">
        <v>0</v>
      </c>
      <c r="T270" s="3">
        <v>11.13</v>
      </c>
      <c r="U270" s="32">
        <v>2.2259999999999999E-2</v>
      </c>
      <c r="V270" s="84">
        <f t="shared" si="21"/>
        <v>0.24</v>
      </c>
    </row>
    <row r="271" spans="2:22" s="26" customFormat="1" x14ac:dyDescent="0.2">
      <c r="B271" s="69"/>
      <c r="C271" s="69" t="s">
        <v>39</v>
      </c>
      <c r="D271" s="3">
        <v>8.0000000000000002E-3</v>
      </c>
      <c r="E271" s="3">
        <v>8.0000000000000002E-3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7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300</v>
      </c>
      <c r="U271" s="32">
        <v>2.3999999999999998E-3</v>
      </c>
      <c r="V271" s="84">
        <f t="shared" si="21"/>
        <v>0.16355</v>
      </c>
    </row>
    <row r="272" spans="2:22" s="26" customFormat="1" x14ac:dyDescent="0.2">
      <c r="B272" s="69"/>
      <c r="C272" s="65" t="s">
        <v>43</v>
      </c>
      <c r="D272" s="89">
        <v>160</v>
      </c>
      <c r="E272" s="89">
        <v>160</v>
      </c>
      <c r="F272" s="82">
        <v>0</v>
      </c>
      <c r="G272" s="82">
        <v>0</v>
      </c>
      <c r="H272" s="91">
        <v>0</v>
      </c>
      <c r="I272" s="82">
        <v>0</v>
      </c>
      <c r="J272" s="83">
        <v>0</v>
      </c>
      <c r="K272" s="83">
        <v>0</v>
      </c>
      <c r="L272" s="82">
        <v>0</v>
      </c>
      <c r="M272" s="83">
        <v>0</v>
      </c>
      <c r="N272" s="82">
        <v>0</v>
      </c>
      <c r="O272" s="82">
        <v>0</v>
      </c>
      <c r="P272" s="82">
        <v>0</v>
      </c>
      <c r="Q272" s="82">
        <v>0</v>
      </c>
      <c r="R272" s="82">
        <v>0</v>
      </c>
      <c r="S272" s="82">
        <v>0</v>
      </c>
      <c r="T272" s="69">
        <v>0</v>
      </c>
      <c r="U272" s="96">
        <v>0</v>
      </c>
      <c r="V272" s="84">
        <f t="shared" si="21"/>
        <v>3.5543999999999999E-2</v>
      </c>
    </row>
    <row r="273" spans="1:24" s="26" customFormat="1" x14ac:dyDescent="0.2">
      <c r="B273" s="69"/>
      <c r="C273" s="88" t="s">
        <v>77</v>
      </c>
      <c r="D273" s="89"/>
      <c r="E273" s="89"/>
      <c r="F273" s="69">
        <v>1.5092000000000001</v>
      </c>
      <c r="G273" s="69">
        <v>4.13</v>
      </c>
      <c r="H273" s="69">
        <v>10.058</v>
      </c>
      <c r="I273" s="69">
        <v>83.647999999999996</v>
      </c>
      <c r="J273" s="85">
        <v>300.10000000000002</v>
      </c>
      <c r="K273" s="69">
        <v>28.42</v>
      </c>
      <c r="L273" s="69">
        <v>21.96</v>
      </c>
      <c r="M273" s="85">
        <v>55.466000000000001</v>
      </c>
      <c r="N273" s="69">
        <v>0.79120000000000001</v>
      </c>
      <c r="O273" s="69">
        <v>0</v>
      </c>
      <c r="P273" s="69">
        <v>4.5999999999999999E-2</v>
      </c>
      <c r="Q273" s="69">
        <v>4.8680000000000001E-2</v>
      </c>
      <c r="R273" s="69">
        <v>0.63759999999999994</v>
      </c>
      <c r="S273" s="69">
        <v>17.38</v>
      </c>
      <c r="T273" s="69"/>
      <c r="U273" s="96">
        <v>4.1328839999999998</v>
      </c>
      <c r="V273" s="84">
        <f t="shared" si="21"/>
        <v>3.8227499999999998E-2</v>
      </c>
    </row>
    <row r="274" spans="1:24" s="26" customFormat="1" x14ac:dyDescent="0.2">
      <c r="B274" s="69"/>
      <c r="C274" s="5" t="s">
        <v>80</v>
      </c>
      <c r="D274" s="69"/>
      <c r="E274" s="3">
        <v>80</v>
      </c>
      <c r="F274" s="3"/>
      <c r="G274" s="3"/>
      <c r="H274" s="3"/>
      <c r="I274" s="32"/>
      <c r="J274" s="3"/>
      <c r="K274" s="32"/>
      <c r="L274" s="32"/>
      <c r="M274" s="7"/>
      <c r="N274" s="3"/>
      <c r="O274" s="3"/>
      <c r="P274" s="3"/>
      <c r="Q274" s="3"/>
      <c r="R274" s="3"/>
      <c r="S274" s="32"/>
      <c r="T274" s="69"/>
      <c r="U274" s="96"/>
      <c r="V274" s="84">
        <f t="shared" si="21"/>
        <v>5.8150000000000007E-3</v>
      </c>
    </row>
    <row r="275" spans="1:24" s="26" customFormat="1" x14ac:dyDescent="0.2">
      <c r="B275" s="69" t="s">
        <v>89</v>
      </c>
      <c r="C275" s="155" t="s">
        <v>67</v>
      </c>
      <c r="D275" s="69">
        <v>69.3</v>
      </c>
      <c r="E275" s="69">
        <v>50.6</v>
      </c>
      <c r="F275" s="69">
        <v>11.4</v>
      </c>
      <c r="G275" s="69">
        <v>8.09</v>
      </c>
      <c r="H275" s="69">
        <v>0</v>
      </c>
      <c r="I275" s="96">
        <v>110</v>
      </c>
      <c r="J275" s="69">
        <v>164.5</v>
      </c>
      <c r="K275" s="85">
        <v>4.5</v>
      </c>
      <c r="L275" s="85">
        <v>11.1</v>
      </c>
      <c r="M275" s="85">
        <v>95.1</v>
      </c>
      <c r="N275" s="69">
        <v>1.4</v>
      </c>
      <c r="O275" s="69">
        <v>0</v>
      </c>
      <c r="P275" s="69">
        <v>0.03</v>
      </c>
      <c r="Q275" s="69">
        <v>0.1</v>
      </c>
      <c r="R275" s="69">
        <v>2.2999999999999998</v>
      </c>
      <c r="S275" s="96">
        <v>0</v>
      </c>
      <c r="T275" s="69"/>
      <c r="U275" s="96">
        <v>351.86</v>
      </c>
      <c r="V275" s="84">
        <f t="shared" si="21"/>
        <v>6.0000000000000001E-3</v>
      </c>
    </row>
    <row r="276" spans="1:24" s="26" customFormat="1" x14ac:dyDescent="0.2">
      <c r="B276" s="69"/>
      <c r="C276" s="155" t="s">
        <v>35</v>
      </c>
      <c r="D276" s="69">
        <v>8</v>
      </c>
      <c r="E276" s="69">
        <v>8</v>
      </c>
      <c r="F276" s="69">
        <v>0</v>
      </c>
      <c r="G276" s="69">
        <v>0</v>
      </c>
      <c r="H276" s="69">
        <v>0</v>
      </c>
      <c r="I276" s="69">
        <v>0</v>
      </c>
      <c r="J276" s="69">
        <v>0</v>
      </c>
      <c r="K276" s="69">
        <v>0</v>
      </c>
      <c r="L276" s="69">
        <v>0</v>
      </c>
      <c r="M276" s="69">
        <v>0</v>
      </c>
      <c r="N276" s="69">
        <v>0</v>
      </c>
      <c r="O276" s="69">
        <v>0</v>
      </c>
      <c r="P276" s="69">
        <v>0</v>
      </c>
      <c r="Q276" s="69">
        <v>0</v>
      </c>
      <c r="R276" s="69">
        <v>0</v>
      </c>
      <c r="S276" s="69">
        <v>0</v>
      </c>
      <c r="T276" s="69"/>
      <c r="U276" s="96">
        <v>0</v>
      </c>
      <c r="V276" s="21">
        <f>SUM(V267:V275)</f>
        <v>0.76598650000000001</v>
      </c>
    </row>
    <row r="277" spans="1:24" s="26" customFormat="1" x14ac:dyDescent="0.2">
      <c r="B277" s="69"/>
      <c r="C277" s="155" t="s">
        <v>49</v>
      </c>
      <c r="D277" s="69">
        <v>6.6</v>
      </c>
      <c r="E277" s="69">
        <v>6.6</v>
      </c>
      <c r="F277" s="69">
        <v>0.5</v>
      </c>
      <c r="G277" s="69">
        <v>0.06</v>
      </c>
      <c r="H277" s="69">
        <v>4.7</v>
      </c>
      <c r="I277" s="69">
        <v>21.8</v>
      </c>
      <c r="J277" s="69">
        <v>3.6</v>
      </c>
      <c r="K277" s="69">
        <v>1.6</v>
      </c>
      <c r="L277" s="69">
        <v>1.4</v>
      </c>
      <c r="M277" s="69">
        <v>6.4</v>
      </c>
      <c r="N277" s="69">
        <v>0.11</v>
      </c>
      <c r="O277" s="69">
        <v>0</v>
      </c>
      <c r="P277" s="69">
        <v>0.05</v>
      </c>
      <c r="Q277" s="69">
        <v>0.02</v>
      </c>
      <c r="R277" s="69">
        <v>0.1</v>
      </c>
      <c r="S277" s="69">
        <v>0</v>
      </c>
      <c r="T277" s="69"/>
      <c r="U277" s="96">
        <v>56.43</v>
      </c>
      <c r="V277" s="84"/>
    </row>
    <row r="278" spans="1:24" s="26" customFormat="1" x14ac:dyDescent="0.2">
      <c r="B278" s="69"/>
      <c r="C278" s="155" t="s">
        <v>33</v>
      </c>
      <c r="D278" s="69">
        <v>28</v>
      </c>
      <c r="E278" s="69">
        <v>24</v>
      </c>
      <c r="F278" s="69">
        <v>0.33</v>
      </c>
      <c r="G278" s="69">
        <v>0.05</v>
      </c>
      <c r="H278" s="69">
        <v>1.9</v>
      </c>
      <c r="I278" s="69">
        <v>9.8000000000000007</v>
      </c>
      <c r="J278" s="69">
        <v>42</v>
      </c>
      <c r="K278" s="85">
        <v>7.4</v>
      </c>
      <c r="L278" s="85">
        <v>3.4</v>
      </c>
      <c r="M278" s="85">
        <v>13.9</v>
      </c>
      <c r="N278" s="69">
        <v>0.2</v>
      </c>
      <c r="O278" s="69">
        <v>0</v>
      </c>
      <c r="P278" s="69">
        <v>0.01</v>
      </c>
      <c r="Q278" s="69">
        <v>0.04</v>
      </c>
      <c r="R278" s="69">
        <v>0.05</v>
      </c>
      <c r="S278" s="96">
        <v>2.4</v>
      </c>
      <c r="T278" s="69"/>
      <c r="U278" s="96">
        <v>29.62</v>
      </c>
      <c r="V278" s="84">
        <f>D295*U295/1000</f>
        <v>2.2444999999999999</v>
      </c>
    </row>
    <row r="279" spans="1:24" s="26" customFormat="1" ht="25.5" x14ac:dyDescent="0.2">
      <c r="B279" s="69"/>
      <c r="C279" s="155" t="s">
        <v>34</v>
      </c>
      <c r="D279" s="84">
        <v>10.6</v>
      </c>
      <c r="E279" s="84">
        <v>10.6</v>
      </c>
      <c r="F279" s="69">
        <v>0</v>
      </c>
      <c r="G279" s="69">
        <f>99.9*E279/100</f>
        <v>10.589400000000001</v>
      </c>
      <c r="H279" s="69">
        <f>0</f>
        <v>0</v>
      </c>
      <c r="I279" s="69">
        <f>899*E279/100</f>
        <v>95.293999999999997</v>
      </c>
      <c r="J279" s="86">
        <v>0</v>
      </c>
      <c r="K279" s="69">
        <v>0</v>
      </c>
      <c r="L279" s="69">
        <v>0</v>
      </c>
      <c r="M279" s="87">
        <v>0</v>
      </c>
      <c r="N279" s="69">
        <v>0</v>
      </c>
      <c r="O279" s="69">
        <v>0</v>
      </c>
      <c r="P279" s="69">
        <v>0</v>
      </c>
      <c r="Q279" s="69">
        <v>0</v>
      </c>
      <c r="R279" s="69">
        <v>0</v>
      </c>
      <c r="S279" s="69">
        <v>0</v>
      </c>
      <c r="T279" s="69"/>
      <c r="U279" s="96">
        <v>83.43</v>
      </c>
      <c r="V279" s="84">
        <f>D296*U296/1000</f>
        <v>1.8608E-2</v>
      </c>
    </row>
    <row r="280" spans="1:24" s="26" customFormat="1" x14ac:dyDescent="0.2">
      <c r="B280" s="69"/>
      <c r="C280" s="155" t="s">
        <v>69</v>
      </c>
      <c r="D280" s="84">
        <v>5.3</v>
      </c>
      <c r="E280" s="84">
        <v>5.3</v>
      </c>
      <c r="F280" s="84">
        <v>0.5</v>
      </c>
      <c r="G280" s="84">
        <v>0.05</v>
      </c>
      <c r="H280" s="84">
        <v>3.6</v>
      </c>
      <c r="I280" s="84">
        <v>17.7</v>
      </c>
      <c r="J280" s="84">
        <v>9.3000000000000007</v>
      </c>
      <c r="K280" s="177">
        <v>1.3</v>
      </c>
      <c r="L280" s="84">
        <v>2.33</v>
      </c>
      <c r="M280" s="177">
        <v>6.09</v>
      </c>
      <c r="N280" s="84">
        <v>0.11</v>
      </c>
      <c r="O280" s="84">
        <v>0</v>
      </c>
      <c r="P280" s="69">
        <v>0.09</v>
      </c>
      <c r="Q280" s="69">
        <v>0.04</v>
      </c>
      <c r="R280" s="69">
        <v>0.06</v>
      </c>
      <c r="S280" s="69">
        <v>0</v>
      </c>
      <c r="T280" s="69"/>
      <c r="U280" s="96">
        <v>27.31</v>
      </c>
      <c r="V280" s="84">
        <f>D297*U297/1000</f>
        <v>1.7902339999999997</v>
      </c>
    </row>
    <row r="281" spans="1:24" s="26" customFormat="1" x14ac:dyDescent="0.2">
      <c r="B281" s="69"/>
      <c r="C281" s="155" t="s">
        <v>46</v>
      </c>
      <c r="D281" s="84">
        <v>3</v>
      </c>
      <c r="E281" s="84">
        <v>3</v>
      </c>
      <c r="F281" s="84">
        <v>0</v>
      </c>
      <c r="G281" s="84">
        <v>0</v>
      </c>
      <c r="H281" s="84">
        <v>0</v>
      </c>
      <c r="I281" s="84">
        <v>0</v>
      </c>
      <c r="J281" s="84">
        <v>0</v>
      </c>
      <c r="K281" s="177">
        <v>0</v>
      </c>
      <c r="L281" s="84">
        <v>0</v>
      </c>
      <c r="M281" s="177">
        <v>0</v>
      </c>
      <c r="N281" s="84">
        <v>0</v>
      </c>
      <c r="O281" s="84">
        <v>0</v>
      </c>
      <c r="P281" s="84">
        <v>0</v>
      </c>
      <c r="Q281" s="84">
        <v>0</v>
      </c>
      <c r="R281" s="84">
        <v>0</v>
      </c>
      <c r="S281" s="84">
        <v>0</v>
      </c>
      <c r="T281" s="69"/>
      <c r="U281" s="96">
        <v>11.63</v>
      </c>
      <c r="V281" s="21">
        <v>4.0529999999999999</v>
      </c>
    </row>
    <row r="282" spans="1:24" s="26" customFormat="1" ht="25.5" customHeight="1" x14ac:dyDescent="0.2">
      <c r="B282" s="69"/>
      <c r="C282" s="18" t="s">
        <v>77</v>
      </c>
      <c r="D282" s="21"/>
      <c r="E282" s="21"/>
      <c r="F282" s="21">
        <f>SUM(F275:F281)</f>
        <v>12.73</v>
      </c>
      <c r="G282" s="21">
        <f t="shared" ref="G282:S282" si="22">SUM(G275:G281)</f>
        <v>18.839400000000001</v>
      </c>
      <c r="H282" s="21">
        <f t="shared" si="22"/>
        <v>10.199999999999999</v>
      </c>
      <c r="I282" s="21">
        <f t="shared" si="22"/>
        <v>254.59399999999999</v>
      </c>
      <c r="J282" s="21">
        <f t="shared" si="22"/>
        <v>219.4</v>
      </c>
      <c r="K282" s="21">
        <f t="shared" si="22"/>
        <v>14.8</v>
      </c>
      <c r="L282" s="21">
        <f t="shared" si="22"/>
        <v>18.23</v>
      </c>
      <c r="M282" s="21">
        <f t="shared" si="22"/>
        <v>121.49000000000001</v>
      </c>
      <c r="N282" s="21">
        <f t="shared" si="22"/>
        <v>1.82</v>
      </c>
      <c r="O282" s="21">
        <f t="shared" si="22"/>
        <v>0</v>
      </c>
      <c r="P282" s="21">
        <f t="shared" si="22"/>
        <v>0.18</v>
      </c>
      <c r="Q282" s="21">
        <f t="shared" si="22"/>
        <v>0.2</v>
      </c>
      <c r="R282" s="21">
        <f t="shared" si="22"/>
        <v>2.5099999999999998</v>
      </c>
      <c r="S282" s="21">
        <f t="shared" si="22"/>
        <v>2.4</v>
      </c>
      <c r="T282" s="69"/>
      <c r="U282" s="96"/>
      <c r="V282" s="84"/>
    </row>
    <row r="283" spans="1:24" s="26" customFormat="1" x14ac:dyDescent="0.2">
      <c r="B283" s="144"/>
      <c r="C283" s="71" t="s">
        <v>99</v>
      </c>
      <c r="D283" s="72"/>
      <c r="E283" s="73">
        <v>50</v>
      </c>
      <c r="F283" s="29"/>
      <c r="G283" s="74"/>
      <c r="H283" s="74"/>
      <c r="I283" s="74"/>
      <c r="J283" s="75"/>
      <c r="K283" s="74"/>
      <c r="L283" s="74"/>
      <c r="M283" s="75"/>
      <c r="N283" s="74"/>
      <c r="O283" s="74"/>
      <c r="P283" s="74"/>
      <c r="Q283" s="74"/>
      <c r="R283" s="74"/>
      <c r="S283" s="74"/>
      <c r="T283" s="69"/>
      <c r="U283" s="96"/>
      <c r="V283" s="157">
        <v>0.53900000000000003</v>
      </c>
    </row>
    <row r="284" spans="1:24" s="26" customFormat="1" x14ac:dyDescent="0.2">
      <c r="B284" s="136" t="s">
        <v>98</v>
      </c>
      <c r="C284" s="30" t="s">
        <v>100</v>
      </c>
      <c r="D284" s="31">
        <v>50</v>
      </c>
      <c r="E284" s="31">
        <v>50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0</v>
      </c>
      <c r="T284" s="69"/>
      <c r="U284" s="96">
        <v>0</v>
      </c>
      <c r="V284" s="157">
        <v>0.76500000000000001</v>
      </c>
    </row>
    <row r="285" spans="1:24" s="67" customFormat="1" ht="25.5" x14ac:dyDescent="0.2">
      <c r="A285" s="154"/>
      <c r="B285" s="136"/>
      <c r="C285" s="30" t="s">
        <v>34</v>
      </c>
      <c r="D285" s="31">
        <v>2.5</v>
      </c>
      <c r="E285" s="31">
        <v>2.5</v>
      </c>
      <c r="F285" s="31">
        <v>0</v>
      </c>
      <c r="G285" s="31">
        <v>2.5</v>
      </c>
      <c r="H285" s="31">
        <v>0</v>
      </c>
      <c r="I285" s="31">
        <v>22.4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34">
        <v>0</v>
      </c>
      <c r="S285" s="34">
        <v>0</v>
      </c>
      <c r="T285" s="69"/>
      <c r="U285" s="96">
        <v>83.43</v>
      </c>
      <c r="V285" s="157">
        <v>0</v>
      </c>
      <c r="W285" s="154"/>
      <c r="X285" s="154"/>
    </row>
    <row r="286" spans="1:24" s="67" customFormat="1" x14ac:dyDescent="0.2">
      <c r="A286" s="154"/>
      <c r="B286" s="136"/>
      <c r="C286" s="30" t="s">
        <v>38</v>
      </c>
      <c r="D286" s="31">
        <v>2.5</v>
      </c>
      <c r="E286" s="31">
        <v>2.5</v>
      </c>
      <c r="F286" s="31">
        <v>0.3</v>
      </c>
      <c r="G286" s="31">
        <v>0</v>
      </c>
      <c r="H286" s="31">
        <v>1.7</v>
      </c>
      <c r="I286" s="31">
        <v>8.4</v>
      </c>
      <c r="J286" s="31">
        <v>4.4000000000000004</v>
      </c>
      <c r="K286" s="31">
        <v>0.6</v>
      </c>
      <c r="L286" s="31">
        <v>1.1000000000000001</v>
      </c>
      <c r="M286" s="31">
        <v>2.9</v>
      </c>
      <c r="N286" s="31">
        <v>0.05</v>
      </c>
      <c r="O286" s="31">
        <v>0</v>
      </c>
      <c r="P286" s="31">
        <v>0</v>
      </c>
      <c r="Q286" s="31">
        <v>0</v>
      </c>
      <c r="R286" s="31">
        <v>0.03</v>
      </c>
      <c r="S286" s="31">
        <v>0</v>
      </c>
      <c r="T286" s="69"/>
      <c r="U286" s="96">
        <v>27.31</v>
      </c>
      <c r="V286" s="138">
        <v>1.304</v>
      </c>
      <c r="W286" s="154"/>
      <c r="X286" s="154"/>
    </row>
    <row r="287" spans="1:24" s="67" customFormat="1" x14ac:dyDescent="0.2">
      <c r="A287" s="154"/>
      <c r="B287" s="136"/>
      <c r="C287" s="30" t="s">
        <v>36</v>
      </c>
      <c r="D287" s="31">
        <v>2</v>
      </c>
      <c r="E287" s="31">
        <v>2</v>
      </c>
      <c r="F287" s="31">
        <v>0.1</v>
      </c>
      <c r="G287" s="31">
        <v>0</v>
      </c>
      <c r="H287" s="31">
        <v>0.4</v>
      </c>
      <c r="I287" s="31">
        <v>2</v>
      </c>
      <c r="J287" s="31">
        <v>17.5</v>
      </c>
      <c r="K287" s="31">
        <v>0.4</v>
      </c>
      <c r="L287" s="31">
        <v>1</v>
      </c>
      <c r="M287" s="31">
        <v>1.36</v>
      </c>
      <c r="N287" s="31">
        <v>0.05</v>
      </c>
      <c r="O287" s="31">
        <v>0</v>
      </c>
      <c r="P287" s="31">
        <v>0</v>
      </c>
      <c r="Q287" s="31">
        <v>0</v>
      </c>
      <c r="R287" s="31">
        <v>0.04</v>
      </c>
      <c r="S287" s="31">
        <v>0.9</v>
      </c>
      <c r="T287" s="69"/>
      <c r="U287" s="96">
        <v>120</v>
      </c>
      <c r="V287" s="32">
        <v>0.58584000000000003</v>
      </c>
      <c r="W287" s="154"/>
      <c r="X287" s="154"/>
    </row>
    <row r="288" spans="1:24" s="67" customFormat="1" x14ac:dyDescent="0.2">
      <c r="A288" s="154"/>
      <c r="B288" s="136"/>
      <c r="C288" s="30" t="s">
        <v>32</v>
      </c>
      <c r="D288" s="31">
        <v>5</v>
      </c>
      <c r="E288" s="31">
        <v>4</v>
      </c>
      <c r="F288" s="31">
        <v>0.06</v>
      </c>
      <c r="G288" s="31">
        <v>0</v>
      </c>
      <c r="H288" s="31">
        <v>0.28000000000000003</v>
      </c>
      <c r="I288" s="31">
        <v>1.4</v>
      </c>
      <c r="J288" s="31">
        <v>8</v>
      </c>
      <c r="K288" s="31">
        <v>1</v>
      </c>
      <c r="L288" s="31">
        <v>1.5</v>
      </c>
      <c r="M288" s="31">
        <v>2.2000000000000002</v>
      </c>
      <c r="N288" s="31">
        <v>0</v>
      </c>
      <c r="O288" s="31">
        <v>0</v>
      </c>
      <c r="P288" s="31">
        <v>0</v>
      </c>
      <c r="Q288" s="31">
        <v>0</v>
      </c>
      <c r="R288" s="31">
        <v>0.04</v>
      </c>
      <c r="S288" s="31">
        <v>0.2</v>
      </c>
      <c r="T288" s="69"/>
      <c r="U288" s="96">
        <v>32.71</v>
      </c>
      <c r="V288" s="32">
        <v>0.71799999999999997</v>
      </c>
      <c r="W288" s="154"/>
      <c r="X288" s="154"/>
    </row>
    <row r="289" spans="1:24" s="67" customFormat="1" x14ac:dyDescent="0.2">
      <c r="A289" s="154"/>
      <c r="B289" s="136"/>
      <c r="C289" s="30" t="s">
        <v>33</v>
      </c>
      <c r="D289" s="31">
        <v>1.2</v>
      </c>
      <c r="E289" s="31">
        <v>1</v>
      </c>
      <c r="F289" s="31">
        <v>0.01</v>
      </c>
      <c r="G289" s="31">
        <v>0</v>
      </c>
      <c r="H289" s="31">
        <v>0.08</v>
      </c>
      <c r="I289" s="31">
        <v>0.41</v>
      </c>
      <c r="J289" s="31">
        <v>1.75</v>
      </c>
      <c r="K289" s="31">
        <v>0.31</v>
      </c>
      <c r="L289" s="31">
        <v>0.14000000000000001</v>
      </c>
      <c r="M289" s="31">
        <v>0.57999999999999996</v>
      </c>
      <c r="N289" s="31">
        <v>0</v>
      </c>
      <c r="O289" s="31">
        <v>0</v>
      </c>
      <c r="P289" s="31">
        <v>0</v>
      </c>
      <c r="Q289" s="31">
        <v>0</v>
      </c>
      <c r="R289" s="31">
        <v>0</v>
      </c>
      <c r="S289" s="31">
        <v>0.1</v>
      </c>
      <c r="T289" s="69"/>
      <c r="U289" s="96">
        <v>29.62</v>
      </c>
      <c r="V289" s="32">
        <v>32.321345999999998</v>
      </c>
      <c r="W289" s="154"/>
      <c r="X289" s="154"/>
    </row>
    <row r="290" spans="1:24" s="67" customFormat="1" x14ac:dyDescent="0.2">
      <c r="A290" s="154"/>
      <c r="B290" s="136"/>
      <c r="C290" s="30" t="s">
        <v>30</v>
      </c>
      <c r="D290" s="31">
        <v>0.75</v>
      </c>
      <c r="E290" s="31">
        <v>0.75</v>
      </c>
      <c r="F290" s="31">
        <v>0</v>
      </c>
      <c r="G290" s="31">
        <v>0</v>
      </c>
      <c r="H290" s="31">
        <v>0.7</v>
      </c>
      <c r="I290" s="31">
        <v>2.8</v>
      </c>
      <c r="J290" s="31">
        <v>0.02</v>
      </c>
      <c r="K290" s="31">
        <v>0.01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0</v>
      </c>
      <c r="R290" s="31">
        <v>0</v>
      </c>
      <c r="S290" s="31">
        <v>0</v>
      </c>
      <c r="T290" s="69"/>
      <c r="U290" s="96">
        <v>50.97</v>
      </c>
      <c r="V290" s="84"/>
      <c r="W290" s="154"/>
      <c r="X290" s="154"/>
    </row>
    <row r="291" spans="1:24" s="67" customFormat="1" x14ac:dyDescent="0.2">
      <c r="A291" s="154"/>
      <c r="B291" s="136"/>
      <c r="C291" s="30" t="s">
        <v>46</v>
      </c>
      <c r="D291" s="31">
        <v>0.5</v>
      </c>
      <c r="E291" s="31">
        <v>0.5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31">
        <v>0</v>
      </c>
      <c r="O291" s="31">
        <v>0</v>
      </c>
      <c r="P291" s="31">
        <v>0</v>
      </c>
      <c r="Q291" s="31">
        <v>0</v>
      </c>
      <c r="R291" s="31">
        <v>0</v>
      </c>
      <c r="S291" s="31">
        <v>0</v>
      </c>
      <c r="T291" s="69"/>
      <c r="U291" s="96">
        <v>11.63</v>
      </c>
      <c r="V291" s="84"/>
      <c r="W291" s="154"/>
      <c r="X291" s="154"/>
    </row>
    <row r="292" spans="1:24" s="67" customFormat="1" x14ac:dyDescent="0.2">
      <c r="A292" s="154"/>
      <c r="B292" s="136"/>
      <c r="C292" s="76" t="s">
        <v>39</v>
      </c>
      <c r="D292" s="34">
        <v>0.02</v>
      </c>
      <c r="E292" s="34">
        <v>0.02</v>
      </c>
      <c r="F292" s="34">
        <v>0</v>
      </c>
      <c r="G292" s="34">
        <v>0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69"/>
      <c r="U292" s="96">
        <v>300</v>
      </c>
      <c r="V292" s="84"/>
      <c r="W292" s="154"/>
      <c r="X292" s="154"/>
    </row>
    <row r="293" spans="1:24" s="67" customFormat="1" x14ac:dyDescent="0.2">
      <c r="A293" s="154"/>
      <c r="B293" s="136"/>
      <c r="C293" s="71" t="s">
        <v>77</v>
      </c>
      <c r="D293" s="79"/>
      <c r="E293" s="79"/>
      <c r="F293" s="79">
        <f>SUM(F284:F292)</f>
        <v>0.47000000000000003</v>
      </c>
      <c r="G293" s="79">
        <f t="shared" ref="G293:S293" si="23">SUM(G284:G292)</f>
        <v>2.5</v>
      </c>
      <c r="H293" s="79">
        <f t="shared" si="23"/>
        <v>3.16</v>
      </c>
      <c r="I293" s="79">
        <f t="shared" si="23"/>
        <v>37.409999999999989</v>
      </c>
      <c r="J293" s="79">
        <f t="shared" si="23"/>
        <v>31.669999999999998</v>
      </c>
      <c r="K293" s="79">
        <f t="shared" si="23"/>
        <v>2.3199999999999998</v>
      </c>
      <c r="L293" s="79">
        <f t="shared" si="23"/>
        <v>3.74</v>
      </c>
      <c r="M293" s="79">
        <f t="shared" si="23"/>
        <v>7.04</v>
      </c>
      <c r="N293" s="79">
        <f t="shared" si="23"/>
        <v>0.1</v>
      </c>
      <c r="O293" s="79">
        <f t="shared" si="23"/>
        <v>0</v>
      </c>
      <c r="P293" s="79">
        <f t="shared" si="23"/>
        <v>0</v>
      </c>
      <c r="Q293" s="79">
        <f t="shared" si="23"/>
        <v>0</v>
      </c>
      <c r="R293" s="79">
        <f t="shared" si="23"/>
        <v>0.11000000000000001</v>
      </c>
      <c r="S293" s="79">
        <f t="shared" si="23"/>
        <v>1.2000000000000002</v>
      </c>
      <c r="T293" s="69"/>
      <c r="U293" s="96"/>
      <c r="V293" s="52">
        <v>1.91</v>
      </c>
      <c r="W293" s="154"/>
      <c r="X293" s="154"/>
    </row>
    <row r="294" spans="1:24" s="67" customFormat="1" ht="25.5" x14ac:dyDescent="0.2">
      <c r="A294" s="154"/>
      <c r="B294" s="136"/>
      <c r="C294" s="28" t="s">
        <v>71</v>
      </c>
      <c r="D294" s="31"/>
      <c r="E294" s="29">
        <v>150</v>
      </c>
      <c r="F294" s="29"/>
      <c r="G294" s="29"/>
      <c r="H294" s="59"/>
      <c r="I294" s="29"/>
      <c r="J294" s="59"/>
      <c r="K294" s="49"/>
      <c r="L294" s="29"/>
      <c r="M294" s="29"/>
      <c r="N294" s="29"/>
      <c r="O294" s="29"/>
      <c r="P294" s="29"/>
      <c r="Q294" s="29"/>
      <c r="R294" s="29"/>
      <c r="S294" s="29"/>
      <c r="T294" s="69"/>
      <c r="U294" s="96"/>
      <c r="V294" s="135">
        <v>0.51200000000000001</v>
      </c>
      <c r="W294" s="154"/>
      <c r="X294" s="154"/>
    </row>
    <row r="295" spans="1:24" s="67" customFormat="1" x14ac:dyDescent="0.2">
      <c r="A295" s="154"/>
      <c r="B295" s="31" t="s">
        <v>70</v>
      </c>
      <c r="C295" s="30" t="s">
        <v>72</v>
      </c>
      <c r="D295" s="31">
        <v>50</v>
      </c>
      <c r="E295" s="31">
        <v>50</v>
      </c>
      <c r="F295" s="31">
        <v>6.3</v>
      </c>
      <c r="G295" s="31">
        <v>0.67</v>
      </c>
      <c r="H295" s="33">
        <v>42.5</v>
      </c>
      <c r="I295" s="31">
        <v>205.57</v>
      </c>
      <c r="J295" s="60">
        <v>75.64</v>
      </c>
      <c r="K295" s="60">
        <v>10.98</v>
      </c>
      <c r="L295" s="31">
        <v>9.76</v>
      </c>
      <c r="M295" s="31">
        <v>53</v>
      </c>
      <c r="N295" s="31">
        <v>0.73</v>
      </c>
      <c r="O295" s="31">
        <v>0</v>
      </c>
      <c r="P295" s="31">
        <v>0.1</v>
      </c>
      <c r="Q295" s="31">
        <v>0.04</v>
      </c>
      <c r="R295" s="31">
        <v>0.74</v>
      </c>
      <c r="S295" s="31">
        <v>0</v>
      </c>
      <c r="T295" s="69"/>
      <c r="U295" s="96">
        <v>44.89</v>
      </c>
      <c r="V295" s="135">
        <v>0.32900000000000001</v>
      </c>
      <c r="W295" s="154"/>
      <c r="X295" s="154"/>
    </row>
    <row r="296" spans="1:24" s="26" customFormat="1" x14ac:dyDescent="0.2">
      <c r="B296" s="31"/>
      <c r="C296" s="30" t="s">
        <v>46</v>
      </c>
      <c r="D296" s="31">
        <v>1.6</v>
      </c>
      <c r="E296" s="31">
        <v>1.6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  <c r="N296" s="31">
        <v>0</v>
      </c>
      <c r="O296" s="31">
        <v>0</v>
      </c>
      <c r="P296" s="31">
        <v>0</v>
      </c>
      <c r="Q296" s="31">
        <v>0</v>
      </c>
      <c r="R296" s="31">
        <v>0</v>
      </c>
      <c r="S296" s="31">
        <v>0</v>
      </c>
      <c r="T296" s="69"/>
      <c r="U296" s="96">
        <v>11.63</v>
      </c>
      <c r="V296" s="135">
        <v>0.436</v>
      </c>
    </row>
    <row r="297" spans="1:24" s="26" customFormat="1" x14ac:dyDescent="0.2">
      <c r="B297" s="31"/>
      <c r="C297" s="30" t="s">
        <v>37</v>
      </c>
      <c r="D297" s="31">
        <v>5.3</v>
      </c>
      <c r="E297" s="31">
        <v>5.3</v>
      </c>
      <c r="F297" s="69">
        <f>0.8*E297/100</f>
        <v>4.24E-2</v>
      </c>
      <c r="G297" s="69">
        <f>72.5*E297/100</f>
        <v>3.8424999999999998</v>
      </c>
      <c r="H297" s="69">
        <f>1.3*E297/100</f>
        <v>6.8900000000000003E-2</v>
      </c>
      <c r="I297" s="69">
        <f>661*E297/100</f>
        <v>35.032999999999994</v>
      </c>
      <c r="J297" s="86">
        <f>23*E297/100</f>
        <v>1.2189999999999999</v>
      </c>
      <c r="K297" s="69">
        <f>22*E297/100</f>
        <v>1.1659999999999999</v>
      </c>
      <c r="L297" s="69">
        <f>3*E297/100</f>
        <v>0.15899999999999997</v>
      </c>
      <c r="M297" s="85">
        <f>19*E297/100</f>
        <v>1.0070000000000001</v>
      </c>
      <c r="N297" s="69">
        <f>0.2*E297/100</f>
        <v>1.06E-2</v>
      </c>
      <c r="O297" s="69">
        <f>0.5*E297/100</f>
        <v>2.6499999999999999E-2</v>
      </c>
      <c r="P297" s="69">
        <f>0</f>
        <v>0</v>
      </c>
      <c r="Q297" s="96">
        <f>0.01*E297/1000</f>
        <v>5.3000000000000001E-5</v>
      </c>
      <c r="R297" s="69">
        <f>0.1*E297/100</f>
        <v>5.3E-3</v>
      </c>
      <c r="S297" s="69">
        <f>0</f>
        <v>0</v>
      </c>
      <c r="T297" s="69"/>
      <c r="U297" s="96">
        <v>337.78</v>
      </c>
      <c r="V297" s="135">
        <v>0.28199999999999997</v>
      </c>
    </row>
    <row r="298" spans="1:24" x14ac:dyDescent="0.2">
      <c r="B298" s="31"/>
      <c r="C298" s="71" t="s">
        <v>77</v>
      </c>
      <c r="D298" s="79"/>
      <c r="E298" s="79"/>
      <c r="F298" s="79">
        <v>6.3423999999999996</v>
      </c>
      <c r="G298" s="79">
        <v>4.5125000000000002</v>
      </c>
      <c r="H298" s="79">
        <v>42.569000000000003</v>
      </c>
      <c r="I298" s="79">
        <v>240.6</v>
      </c>
      <c r="J298" s="79">
        <v>76.858999999999995</v>
      </c>
      <c r="K298" s="79">
        <v>12.146000000000001</v>
      </c>
      <c r="L298" s="79">
        <v>9.9190000000000005</v>
      </c>
      <c r="M298" s="79">
        <v>54.006999999999998</v>
      </c>
      <c r="N298" s="79">
        <v>0.74099999999999999</v>
      </c>
      <c r="O298" s="79">
        <v>0.03</v>
      </c>
      <c r="P298" s="79">
        <v>0.1</v>
      </c>
      <c r="Q298" s="79">
        <v>0.04</v>
      </c>
      <c r="R298" s="79">
        <v>0.745</v>
      </c>
      <c r="S298" s="79">
        <v>0</v>
      </c>
      <c r="T298" s="183"/>
      <c r="U298" s="21">
        <v>4.0529999999999999</v>
      </c>
      <c r="V298" s="135">
        <v>2.1999999999999999E-2</v>
      </c>
    </row>
    <row r="299" spans="1:24" x14ac:dyDescent="0.2">
      <c r="A299" s="54"/>
      <c r="B299" s="125"/>
      <c r="C299" s="19" t="s">
        <v>74</v>
      </c>
      <c r="D299" s="313" t="s">
        <v>75</v>
      </c>
      <c r="E299" s="316"/>
      <c r="F299" s="131"/>
      <c r="G299" s="131"/>
      <c r="H299" s="131"/>
      <c r="I299" s="131"/>
      <c r="J299" s="133"/>
      <c r="K299" s="131"/>
      <c r="L299" s="131"/>
      <c r="M299" s="133"/>
      <c r="N299" s="131"/>
      <c r="O299" s="131"/>
      <c r="P299" s="131"/>
      <c r="Q299" s="131"/>
      <c r="R299" s="134"/>
      <c r="S299" s="4"/>
      <c r="T299" s="168"/>
      <c r="U299" s="84"/>
      <c r="V299" s="135">
        <v>0</v>
      </c>
      <c r="W299" s="54"/>
    </row>
    <row r="300" spans="1:24" x14ac:dyDescent="0.2">
      <c r="A300" s="54"/>
      <c r="B300" s="69" t="s">
        <v>73</v>
      </c>
      <c r="C300" s="155" t="s">
        <v>40</v>
      </c>
      <c r="D300" s="178">
        <v>50</v>
      </c>
      <c r="E300" s="178">
        <v>50</v>
      </c>
      <c r="F300" s="157">
        <v>0.1</v>
      </c>
      <c r="G300" s="157">
        <v>0</v>
      </c>
      <c r="H300" s="157">
        <v>0</v>
      </c>
      <c r="I300" s="157">
        <v>0.8</v>
      </c>
      <c r="J300" s="158">
        <v>12.4</v>
      </c>
      <c r="K300" s="157">
        <v>2.5</v>
      </c>
      <c r="L300" s="157">
        <v>2.2000000000000002</v>
      </c>
      <c r="M300" s="158">
        <v>4.0999999999999996</v>
      </c>
      <c r="N300" s="157">
        <v>0.4</v>
      </c>
      <c r="O300" s="157">
        <v>0</v>
      </c>
      <c r="P300" s="157">
        <v>0</v>
      </c>
      <c r="Q300" s="157">
        <v>0</v>
      </c>
      <c r="R300" s="179">
        <v>0</v>
      </c>
      <c r="S300" s="144">
        <v>0</v>
      </c>
      <c r="T300" s="176">
        <v>539.16999999999996</v>
      </c>
      <c r="U300" s="157">
        <v>0.53900000000000003</v>
      </c>
      <c r="V300" s="138">
        <v>3.49</v>
      </c>
      <c r="W300" s="54"/>
    </row>
    <row r="301" spans="1:24" x14ac:dyDescent="0.2">
      <c r="A301" s="54"/>
      <c r="B301" s="144"/>
      <c r="C301" s="155" t="s">
        <v>30</v>
      </c>
      <c r="D301" s="178">
        <v>15</v>
      </c>
      <c r="E301" s="178">
        <v>15</v>
      </c>
      <c r="F301" s="157">
        <v>0</v>
      </c>
      <c r="G301" s="157">
        <v>0</v>
      </c>
      <c r="H301" s="157">
        <v>15</v>
      </c>
      <c r="I301" s="157">
        <v>56.9</v>
      </c>
      <c r="J301" s="158">
        <v>0.5</v>
      </c>
      <c r="K301" s="157">
        <v>0.4</v>
      </c>
      <c r="L301" s="157">
        <v>0</v>
      </c>
      <c r="M301" s="158">
        <v>0</v>
      </c>
      <c r="N301" s="157">
        <v>0</v>
      </c>
      <c r="O301" s="157">
        <v>0</v>
      </c>
      <c r="P301" s="157">
        <v>0</v>
      </c>
      <c r="Q301" s="157">
        <v>0</v>
      </c>
      <c r="R301" s="179">
        <v>0</v>
      </c>
      <c r="S301" s="144">
        <v>0</v>
      </c>
      <c r="T301" s="176">
        <v>50.97</v>
      </c>
      <c r="U301" s="157">
        <v>0.76500000000000001</v>
      </c>
      <c r="V301" s="21"/>
      <c r="W301" s="54"/>
    </row>
    <row r="302" spans="1:24" x14ac:dyDescent="0.2">
      <c r="A302" s="54"/>
      <c r="B302" s="144"/>
      <c r="C302" s="155" t="s">
        <v>35</v>
      </c>
      <c r="D302" s="178">
        <v>150</v>
      </c>
      <c r="E302" s="178">
        <v>150</v>
      </c>
      <c r="F302" s="157">
        <v>0</v>
      </c>
      <c r="G302" s="157">
        <v>0</v>
      </c>
      <c r="H302" s="157">
        <v>0</v>
      </c>
      <c r="I302" s="157">
        <v>0</v>
      </c>
      <c r="J302" s="157">
        <v>0</v>
      </c>
      <c r="K302" s="157">
        <v>0</v>
      </c>
      <c r="L302" s="157">
        <v>0</v>
      </c>
      <c r="M302" s="157">
        <v>0</v>
      </c>
      <c r="N302" s="157">
        <v>0</v>
      </c>
      <c r="O302" s="157">
        <v>0</v>
      </c>
      <c r="P302" s="157">
        <v>0</v>
      </c>
      <c r="Q302" s="157">
        <v>0</v>
      </c>
      <c r="R302" s="179">
        <v>0</v>
      </c>
      <c r="S302" s="144">
        <v>0</v>
      </c>
      <c r="T302" s="176">
        <v>0</v>
      </c>
      <c r="U302" s="157">
        <v>0</v>
      </c>
      <c r="V302" s="84">
        <f t="shared" ref="V302:V308" si="24">D319*U319/1000</f>
        <v>20.38608</v>
      </c>
      <c r="W302" s="54"/>
    </row>
    <row r="303" spans="1:24" x14ac:dyDescent="0.2">
      <c r="A303" s="54"/>
      <c r="B303" s="144"/>
      <c r="C303" s="163" t="s">
        <v>47</v>
      </c>
      <c r="D303" s="138"/>
      <c r="E303" s="138"/>
      <c r="F303" s="138">
        <v>0.1</v>
      </c>
      <c r="G303" s="138">
        <v>0</v>
      </c>
      <c r="H303" s="138">
        <v>15</v>
      </c>
      <c r="I303" s="138">
        <v>57.7</v>
      </c>
      <c r="J303" s="138">
        <v>12.9</v>
      </c>
      <c r="K303" s="138">
        <v>2.9</v>
      </c>
      <c r="L303" s="138">
        <v>2.2000000000000002</v>
      </c>
      <c r="M303" s="138">
        <v>4.12</v>
      </c>
      <c r="N303" s="138">
        <v>0.4</v>
      </c>
      <c r="O303" s="138">
        <v>0</v>
      </c>
      <c r="P303" s="138">
        <v>0</v>
      </c>
      <c r="Q303" s="138">
        <v>0</v>
      </c>
      <c r="R303" s="149">
        <v>0</v>
      </c>
      <c r="S303" s="57">
        <v>0</v>
      </c>
      <c r="T303" s="139"/>
      <c r="U303" s="138">
        <v>1.304</v>
      </c>
      <c r="V303" s="84">
        <f t="shared" si="24"/>
        <v>0.81761400000000017</v>
      </c>
      <c r="W303" s="54"/>
    </row>
    <row r="304" spans="1:24" ht="25.5" x14ac:dyDescent="0.2">
      <c r="A304" s="54"/>
      <c r="B304" s="144"/>
      <c r="C304" s="5" t="s">
        <v>105</v>
      </c>
      <c r="D304" s="3">
        <v>30</v>
      </c>
      <c r="E304" s="3">
        <v>30</v>
      </c>
      <c r="F304" s="69">
        <v>1.54</v>
      </c>
      <c r="G304" s="69">
        <v>0.6</v>
      </c>
      <c r="H304" s="69">
        <v>9.9600000000000009</v>
      </c>
      <c r="I304" s="69">
        <v>52.4</v>
      </c>
      <c r="J304" s="85">
        <v>25.4</v>
      </c>
      <c r="K304" s="69">
        <v>5.2</v>
      </c>
      <c r="L304" s="69">
        <v>7</v>
      </c>
      <c r="M304" s="85">
        <v>16.600000000000001</v>
      </c>
      <c r="N304" s="69">
        <v>0.32</v>
      </c>
      <c r="O304" s="69">
        <v>0</v>
      </c>
      <c r="P304" s="69">
        <v>3.2000000000000001E-2</v>
      </c>
      <c r="Q304" s="69">
        <v>1.6E-2</v>
      </c>
      <c r="R304" s="69">
        <v>0.308</v>
      </c>
      <c r="S304" s="69">
        <v>0</v>
      </c>
      <c r="T304" s="3">
        <v>29.29</v>
      </c>
      <c r="U304" s="32">
        <v>0.58584000000000003</v>
      </c>
      <c r="V304" s="84">
        <f t="shared" si="24"/>
        <v>0.45794000000000001</v>
      </c>
      <c r="W304" s="54"/>
    </row>
    <row r="305" spans="1:23" x14ac:dyDescent="0.2">
      <c r="A305" s="54"/>
      <c r="B305" s="69" t="s">
        <v>24</v>
      </c>
      <c r="C305" s="5" t="s">
        <v>106</v>
      </c>
      <c r="D305" s="3">
        <v>20</v>
      </c>
      <c r="E305" s="3">
        <v>20</v>
      </c>
      <c r="F305" s="69">
        <v>1.32</v>
      </c>
      <c r="G305" s="69">
        <v>0.24</v>
      </c>
      <c r="H305" s="69">
        <v>6.84</v>
      </c>
      <c r="I305" s="69">
        <v>36.200000000000003</v>
      </c>
      <c r="J305" s="69">
        <v>18.8</v>
      </c>
      <c r="K305" s="69">
        <v>6.8</v>
      </c>
      <c r="L305" s="69">
        <v>8.1999999999999993</v>
      </c>
      <c r="M305" s="69">
        <v>24</v>
      </c>
      <c r="N305" s="69">
        <v>0.46</v>
      </c>
      <c r="O305" s="69">
        <v>0</v>
      </c>
      <c r="P305" s="69">
        <v>2.1999999999999999E-2</v>
      </c>
      <c r="Q305" s="69">
        <v>1.6E-2</v>
      </c>
      <c r="R305" s="69">
        <v>0.128</v>
      </c>
      <c r="S305" s="69">
        <v>0</v>
      </c>
      <c r="T305" s="3">
        <v>35.9</v>
      </c>
      <c r="U305" s="32">
        <v>0.71799999999999997</v>
      </c>
      <c r="V305" s="84">
        <f t="shared" si="24"/>
        <v>0.36</v>
      </c>
      <c r="W305" s="54"/>
    </row>
    <row r="306" spans="1:23" x14ac:dyDescent="0.2">
      <c r="A306" s="54"/>
      <c r="B306" s="69" t="s">
        <v>24</v>
      </c>
      <c r="C306" s="5" t="s">
        <v>25</v>
      </c>
      <c r="D306" s="128"/>
      <c r="E306" s="129"/>
      <c r="F306" s="4">
        <v>30.7408</v>
      </c>
      <c r="G306" s="4">
        <v>29.9346</v>
      </c>
      <c r="H306" s="4">
        <v>82.557100000000005</v>
      </c>
      <c r="I306" s="4">
        <v>699.10580000000004</v>
      </c>
      <c r="J306" s="11">
        <v>2155.17</v>
      </c>
      <c r="K306" s="4">
        <v>181.37</v>
      </c>
      <c r="L306" s="4">
        <v>225.82300000000001</v>
      </c>
      <c r="M306" s="11">
        <v>651.62760000000003</v>
      </c>
      <c r="N306" s="4">
        <v>5.8186999999999998</v>
      </c>
      <c r="O306" s="4">
        <v>2.9773999999999998</v>
      </c>
      <c r="P306" s="4">
        <v>0.65668000000000004</v>
      </c>
      <c r="Q306" s="4">
        <v>0.46314</v>
      </c>
      <c r="R306" s="51">
        <v>6.1501000000000001</v>
      </c>
      <c r="S306" s="4">
        <v>41.7408</v>
      </c>
      <c r="T306" s="69"/>
      <c r="U306" s="32">
        <v>32.321345999999998</v>
      </c>
      <c r="V306" s="84">
        <f t="shared" si="24"/>
        <v>0.35543999999999998</v>
      </c>
      <c r="W306" s="54"/>
    </row>
    <row r="307" spans="1:23" x14ac:dyDescent="0.2">
      <c r="A307" s="54"/>
      <c r="B307" s="69"/>
      <c r="C307" s="130" t="s">
        <v>63</v>
      </c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70"/>
      <c r="S307" s="69"/>
      <c r="T307" s="69"/>
      <c r="U307" s="96"/>
      <c r="V307" s="84">
        <f t="shared" si="24"/>
        <v>2.7650700000000001</v>
      </c>
      <c r="W307" s="54"/>
    </row>
    <row r="308" spans="1:23" x14ac:dyDescent="0.2">
      <c r="A308" s="54"/>
      <c r="B308" s="69"/>
      <c r="C308" s="130" t="s">
        <v>1</v>
      </c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70"/>
      <c r="S308" s="69"/>
      <c r="T308" s="69"/>
      <c r="U308" s="96"/>
      <c r="V308" s="84">
        <f t="shared" si="24"/>
        <v>2.3260000000000003E-2</v>
      </c>
      <c r="W308" s="54"/>
    </row>
    <row r="309" spans="1:23" ht="25.5" x14ac:dyDescent="0.2">
      <c r="A309" s="54"/>
      <c r="B309" s="69"/>
      <c r="C309" s="18" t="s">
        <v>5</v>
      </c>
      <c r="D309" s="21"/>
      <c r="E309" s="21">
        <v>200</v>
      </c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8"/>
      <c r="U309" s="84"/>
      <c r="V309" s="21">
        <f>SUM(V302:V308)</f>
        <v>25.165404000000002</v>
      </c>
      <c r="W309" s="54"/>
    </row>
    <row r="310" spans="1:23" x14ac:dyDescent="0.2">
      <c r="A310" s="54"/>
      <c r="B310" s="69" t="s">
        <v>4</v>
      </c>
      <c r="C310" s="155" t="s">
        <v>31</v>
      </c>
      <c r="D310" s="157">
        <v>53.4</v>
      </c>
      <c r="E310" s="157">
        <v>40</v>
      </c>
      <c r="F310" s="157">
        <v>0.8</v>
      </c>
      <c r="G310" s="157">
        <v>0.16</v>
      </c>
      <c r="H310" s="157">
        <v>6.52</v>
      </c>
      <c r="I310" s="157">
        <v>30.8</v>
      </c>
      <c r="J310" s="157">
        <v>227.2</v>
      </c>
      <c r="K310" s="157">
        <v>4</v>
      </c>
      <c r="L310" s="157">
        <v>9.1999999999999993</v>
      </c>
      <c r="M310" s="157">
        <v>23.2</v>
      </c>
      <c r="N310" s="157">
        <v>0.36</v>
      </c>
      <c r="O310" s="157">
        <v>0</v>
      </c>
      <c r="P310" s="157">
        <v>4.8000000000000001E-2</v>
      </c>
      <c r="Q310" s="157">
        <v>2.8000000000000001E-2</v>
      </c>
      <c r="R310" s="157">
        <v>0.52</v>
      </c>
      <c r="S310" s="157">
        <v>8</v>
      </c>
      <c r="T310" s="176">
        <v>1.91</v>
      </c>
      <c r="U310" s="52">
        <v>1.91</v>
      </c>
      <c r="V310" s="84"/>
      <c r="W310" s="54"/>
    </row>
    <row r="311" spans="1:23" x14ac:dyDescent="0.2">
      <c r="A311" s="54"/>
      <c r="B311" s="144"/>
      <c r="C311" s="155" t="s">
        <v>45</v>
      </c>
      <c r="D311" s="157">
        <v>16.2</v>
      </c>
      <c r="E311" s="157">
        <v>16</v>
      </c>
      <c r="F311" s="157">
        <v>3.68</v>
      </c>
      <c r="G311" s="157">
        <v>0.25600000000000001</v>
      </c>
      <c r="H311" s="157">
        <v>8.1280000000000001</v>
      </c>
      <c r="I311" s="157">
        <v>50.24</v>
      </c>
      <c r="J311" s="175">
        <v>117</v>
      </c>
      <c r="K311" s="157">
        <v>14.24</v>
      </c>
      <c r="L311" s="157">
        <v>14.08</v>
      </c>
      <c r="M311" s="158">
        <v>1.1000000000000001</v>
      </c>
      <c r="N311" s="157">
        <v>1.1200000000000001</v>
      </c>
      <c r="O311" s="157">
        <v>0.01</v>
      </c>
      <c r="P311" s="157">
        <v>0.14399999999999999</v>
      </c>
      <c r="Q311" s="157">
        <v>2.9000000000000001E-2</v>
      </c>
      <c r="R311" s="157">
        <v>0.379</v>
      </c>
      <c r="S311" s="157">
        <v>0</v>
      </c>
      <c r="T311" s="176">
        <v>0.51</v>
      </c>
      <c r="U311" s="135">
        <v>0.51200000000000001</v>
      </c>
      <c r="V311" s="157">
        <v>0.53900000000000003</v>
      </c>
      <c r="W311" s="54"/>
    </row>
    <row r="312" spans="1:23" x14ac:dyDescent="0.2">
      <c r="A312" s="54"/>
      <c r="B312" s="144"/>
      <c r="C312" s="155" t="s">
        <v>33</v>
      </c>
      <c r="D312" s="157">
        <v>9.6</v>
      </c>
      <c r="E312" s="157">
        <v>8</v>
      </c>
      <c r="F312" s="157">
        <v>0.104</v>
      </c>
      <c r="G312" s="157">
        <v>8.0000000000000002E-3</v>
      </c>
      <c r="H312" s="157">
        <v>0.55200000000000005</v>
      </c>
      <c r="I312" s="157">
        <v>2.8</v>
      </c>
      <c r="J312" s="157">
        <v>16</v>
      </c>
      <c r="K312" s="157">
        <v>2.16</v>
      </c>
      <c r="L312" s="157">
        <v>3.04</v>
      </c>
      <c r="M312" s="157">
        <v>4.4000000000000004</v>
      </c>
      <c r="N312" s="157">
        <v>5.6000000000000001E-2</v>
      </c>
      <c r="O312" s="157">
        <v>0</v>
      </c>
      <c r="P312" s="157">
        <v>5.0000000000000001E-3</v>
      </c>
      <c r="Q312" s="157">
        <v>6.0000000000000001E-3</v>
      </c>
      <c r="R312" s="157">
        <v>0.08</v>
      </c>
      <c r="S312" s="157">
        <v>0.4</v>
      </c>
      <c r="T312" s="176">
        <v>0.33</v>
      </c>
      <c r="U312" s="135">
        <v>0.32900000000000001</v>
      </c>
      <c r="V312" s="157">
        <v>0.76500000000000001</v>
      </c>
      <c r="W312" s="54"/>
    </row>
    <row r="313" spans="1:23" x14ac:dyDescent="0.2">
      <c r="A313" s="54"/>
      <c r="B313" s="144"/>
      <c r="C313" s="155" t="s">
        <v>32</v>
      </c>
      <c r="D313" s="157">
        <v>12.6</v>
      </c>
      <c r="E313" s="157">
        <v>10</v>
      </c>
      <c r="F313" s="157">
        <v>0.13</v>
      </c>
      <c r="G313" s="157">
        <v>0.01</v>
      </c>
      <c r="H313" s="157">
        <v>0.69</v>
      </c>
      <c r="I313" s="157">
        <v>3.5</v>
      </c>
      <c r="J313" s="157">
        <v>20</v>
      </c>
      <c r="K313" s="157">
        <v>2.7</v>
      </c>
      <c r="L313" s="157">
        <v>3.8</v>
      </c>
      <c r="M313" s="157">
        <v>5.5</v>
      </c>
      <c r="N313" s="157">
        <v>7.0000000000000007E-2</v>
      </c>
      <c r="O313" s="157">
        <v>0</v>
      </c>
      <c r="P313" s="157">
        <v>6.0000000000000001E-3</v>
      </c>
      <c r="Q313" s="157">
        <v>7.0000000000000001E-3</v>
      </c>
      <c r="R313" s="157">
        <v>0.1</v>
      </c>
      <c r="S313" s="157">
        <v>0.5</v>
      </c>
      <c r="T313" s="176">
        <v>0.44</v>
      </c>
      <c r="U313" s="135">
        <v>0.436</v>
      </c>
      <c r="V313" s="157">
        <v>0</v>
      </c>
      <c r="W313" s="54"/>
    </row>
    <row r="314" spans="1:23" ht="25.5" x14ac:dyDescent="0.2">
      <c r="A314" s="54"/>
      <c r="B314" s="144"/>
      <c r="C314" s="155" t="s">
        <v>34</v>
      </c>
      <c r="D314" s="157">
        <v>4</v>
      </c>
      <c r="E314" s="157">
        <v>4</v>
      </c>
      <c r="F314" s="157">
        <v>0</v>
      </c>
      <c r="G314" s="157">
        <v>3.996</v>
      </c>
      <c r="H314" s="157">
        <v>0</v>
      </c>
      <c r="I314" s="157">
        <v>35.96</v>
      </c>
      <c r="J314" s="158">
        <v>0</v>
      </c>
      <c r="K314" s="157">
        <v>0</v>
      </c>
      <c r="L314" s="157">
        <v>0</v>
      </c>
      <c r="M314" s="157">
        <v>0</v>
      </c>
      <c r="N314" s="157">
        <v>0</v>
      </c>
      <c r="O314" s="157">
        <v>0</v>
      </c>
      <c r="P314" s="157">
        <v>0</v>
      </c>
      <c r="Q314" s="157">
        <v>0</v>
      </c>
      <c r="R314" s="157">
        <v>0</v>
      </c>
      <c r="S314" s="157">
        <v>0</v>
      </c>
      <c r="T314" s="176">
        <v>0.28000000000000003</v>
      </c>
      <c r="U314" s="135">
        <v>0.28199999999999997</v>
      </c>
      <c r="V314" s="138">
        <v>1.304</v>
      </c>
      <c r="W314" s="54"/>
    </row>
    <row r="315" spans="1:23" x14ac:dyDescent="0.2">
      <c r="A315" s="54"/>
      <c r="B315" s="144"/>
      <c r="C315" s="155" t="s">
        <v>46</v>
      </c>
      <c r="D315" s="157">
        <v>2</v>
      </c>
      <c r="E315" s="157">
        <v>2</v>
      </c>
      <c r="F315" s="157">
        <v>0</v>
      </c>
      <c r="G315" s="157">
        <v>0</v>
      </c>
      <c r="H315" s="157">
        <v>0</v>
      </c>
      <c r="I315" s="157">
        <v>0</v>
      </c>
      <c r="J315" s="175">
        <v>0</v>
      </c>
      <c r="K315" s="157">
        <v>0</v>
      </c>
      <c r="L315" s="157">
        <v>0</v>
      </c>
      <c r="M315" s="180">
        <v>0</v>
      </c>
      <c r="N315" s="157">
        <v>0</v>
      </c>
      <c r="O315" s="157">
        <v>0</v>
      </c>
      <c r="P315" s="157">
        <v>0</v>
      </c>
      <c r="Q315" s="157">
        <v>0</v>
      </c>
      <c r="R315" s="157">
        <v>0</v>
      </c>
      <c r="S315" s="157">
        <v>0</v>
      </c>
      <c r="T315" s="176">
        <v>0.02</v>
      </c>
      <c r="U315" s="135">
        <v>2.1999999999999999E-2</v>
      </c>
      <c r="V315" s="32">
        <v>0.58584000000000003</v>
      </c>
      <c r="W315" s="54"/>
    </row>
    <row r="316" spans="1:23" x14ac:dyDescent="0.2">
      <c r="A316" s="54"/>
      <c r="B316" s="144"/>
      <c r="C316" s="155" t="s">
        <v>35</v>
      </c>
      <c r="D316" s="157">
        <v>140</v>
      </c>
      <c r="E316" s="157">
        <v>140</v>
      </c>
      <c r="F316" s="157">
        <v>0</v>
      </c>
      <c r="G316" s="157">
        <v>0</v>
      </c>
      <c r="H316" s="157">
        <v>0</v>
      </c>
      <c r="I316" s="157">
        <v>0</v>
      </c>
      <c r="J316" s="157">
        <v>0</v>
      </c>
      <c r="K316" s="157">
        <v>0</v>
      </c>
      <c r="L316" s="157">
        <v>0</v>
      </c>
      <c r="M316" s="157">
        <v>0</v>
      </c>
      <c r="N316" s="157">
        <v>0</v>
      </c>
      <c r="O316" s="157">
        <v>0</v>
      </c>
      <c r="P316" s="157">
        <v>0</v>
      </c>
      <c r="Q316" s="157">
        <v>0</v>
      </c>
      <c r="R316" s="157">
        <v>0</v>
      </c>
      <c r="S316" s="157">
        <v>0</v>
      </c>
      <c r="T316" s="176">
        <v>0</v>
      </c>
      <c r="U316" s="135">
        <v>0</v>
      </c>
      <c r="V316" s="32">
        <v>0.71799999999999997</v>
      </c>
      <c r="W316" s="54"/>
    </row>
    <row r="317" spans="1:23" x14ac:dyDescent="0.2">
      <c r="A317" s="54"/>
      <c r="B317" s="144"/>
      <c r="C317" s="155" t="s">
        <v>47</v>
      </c>
      <c r="D317" s="157"/>
      <c r="E317" s="157"/>
      <c r="F317" s="157">
        <v>4.7140000000000004</v>
      </c>
      <c r="G317" s="157">
        <v>4.43</v>
      </c>
      <c r="H317" s="157">
        <v>15.89</v>
      </c>
      <c r="I317" s="157">
        <v>123.3</v>
      </c>
      <c r="J317" s="157">
        <v>380.16</v>
      </c>
      <c r="K317" s="157">
        <v>23.1</v>
      </c>
      <c r="L317" s="157">
        <v>30.12</v>
      </c>
      <c r="M317" s="157">
        <v>34.22</v>
      </c>
      <c r="N317" s="157">
        <v>1.6060000000000001</v>
      </c>
      <c r="O317" s="157">
        <v>0.01</v>
      </c>
      <c r="P317" s="157">
        <v>0.20300000000000001</v>
      </c>
      <c r="Q317" s="157">
        <v>6.9000000000000006E-2</v>
      </c>
      <c r="R317" s="157">
        <v>1.079</v>
      </c>
      <c r="S317" s="157">
        <v>8.9</v>
      </c>
      <c r="T317" s="176">
        <v>3.49</v>
      </c>
      <c r="U317" s="138">
        <v>3.49</v>
      </c>
      <c r="V317" s="96">
        <v>27.393854000000001</v>
      </c>
      <c r="W317" s="54"/>
    </row>
    <row r="318" spans="1:23" x14ac:dyDescent="0.2">
      <c r="A318" s="54"/>
      <c r="B318" s="144"/>
      <c r="C318" s="3" t="s">
        <v>52</v>
      </c>
      <c r="D318" s="313">
        <v>225</v>
      </c>
      <c r="E318" s="314"/>
      <c r="F318" s="3"/>
      <c r="G318" s="3"/>
      <c r="H318" s="3"/>
      <c r="I318" s="3"/>
      <c r="J318" s="3"/>
      <c r="K318" s="7"/>
      <c r="L318" s="3"/>
      <c r="M318" s="3"/>
      <c r="N318" s="3"/>
      <c r="O318" s="3"/>
      <c r="P318" s="3"/>
      <c r="Q318" s="3"/>
      <c r="R318" s="50"/>
      <c r="S318" s="3"/>
      <c r="T318" s="3"/>
      <c r="U318" s="32"/>
      <c r="V318" s="84"/>
      <c r="W318" s="54"/>
    </row>
    <row r="319" spans="1:23" x14ac:dyDescent="0.2">
      <c r="A319" s="54"/>
      <c r="B319" s="69" t="s">
        <v>51</v>
      </c>
      <c r="C319" s="69" t="s">
        <v>44</v>
      </c>
      <c r="D319" s="159">
        <v>144</v>
      </c>
      <c r="E319" s="159">
        <v>107</v>
      </c>
      <c r="F319" s="69">
        <v>18.7</v>
      </c>
      <c r="G319" s="69">
        <v>16.100000000000001</v>
      </c>
      <c r="H319" s="69">
        <v>0</v>
      </c>
      <c r="I319" s="69">
        <v>220</v>
      </c>
      <c r="J319" s="69">
        <v>236</v>
      </c>
      <c r="K319" s="85">
        <v>14</v>
      </c>
      <c r="L319" s="69">
        <v>19</v>
      </c>
      <c r="M319" s="69">
        <v>160</v>
      </c>
      <c r="N319" s="69">
        <v>1.3</v>
      </c>
      <c r="O319" s="69">
        <v>0.04</v>
      </c>
      <c r="P319" s="69">
        <v>0.09</v>
      </c>
      <c r="Q319" s="69">
        <v>0.15</v>
      </c>
      <c r="R319" s="70">
        <v>6.1</v>
      </c>
      <c r="S319" s="69">
        <v>2</v>
      </c>
      <c r="T319" s="69"/>
      <c r="U319" s="96">
        <v>141.57</v>
      </c>
      <c r="V319" s="84"/>
      <c r="W319" s="54"/>
    </row>
    <row r="320" spans="1:23" ht="25.5" x14ac:dyDescent="0.2">
      <c r="A320" s="54"/>
      <c r="B320" s="69"/>
      <c r="C320" s="65" t="s">
        <v>34</v>
      </c>
      <c r="D320" s="159">
        <v>9.8000000000000007</v>
      </c>
      <c r="E320" s="159">
        <v>9.8000000000000007</v>
      </c>
      <c r="F320" s="69">
        <v>0</v>
      </c>
      <c r="G320" s="69">
        <v>10.5</v>
      </c>
      <c r="H320" s="69">
        <v>0</v>
      </c>
      <c r="I320" s="69">
        <v>94.4</v>
      </c>
      <c r="J320" s="69">
        <v>0</v>
      </c>
      <c r="K320" s="69">
        <v>0</v>
      </c>
      <c r="L320" s="69">
        <v>0</v>
      </c>
      <c r="M320" s="69">
        <v>0</v>
      </c>
      <c r="N320" s="69">
        <v>0</v>
      </c>
      <c r="O320" s="69">
        <v>0</v>
      </c>
      <c r="P320" s="69">
        <v>0</v>
      </c>
      <c r="Q320" s="69">
        <v>0</v>
      </c>
      <c r="R320" s="70">
        <v>0</v>
      </c>
      <c r="S320" s="69">
        <v>0</v>
      </c>
      <c r="T320" s="69"/>
      <c r="U320" s="96">
        <v>83.43</v>
      </c>
      <c r="V320" s="69"/>
      <c r="W320" s="54"/>
    </row>
    <row r="321" spans="1:23" x14ac:dyDescent="0.2">
      <c r="A321" s="54"/>
      <c r="B321" s="69"/>
      <c r="C321" s="69" t="s">
        <v>32</v>
      </c>
      <c r="D321" s="159">
        <v>14</v>
      </c>
      <c r="E321" s="159">
        <v>11.2</v>
      </c>
      <c r="F321" s="69">
        <v>0.16</v>
      </c>
      <c r="G321" s="69">
        <v>0</v>
      </c>
      <c r="H321" s="69">
        <v>0.83</v>
      </c>
      <c r="I321" s="69">
        <v>4.2</v>
      </c>
      <c r="J321" s="69">
        <v>24</v>
      </c>
      <c r="K321" s="69">
        <v>3.2</v>
      </c>
      <c r="L321" s="69">
        <v>4.5599999999999996</v>
      </c>
      <c r="M321" s="69">
        <v>6.6</v>
      </c>
      <c r="N321" s="69">
        <v>0.08</v>
      </c>
      <c r="O321" s="69">
        <v>0</v>
      </c>
      <c r="P321" s="69">
        <v>0</v>
      </c>
      <c r="Q321" s="69">
        <v>0</v>
      </c>
      <c r="R321" s="70">
        <v>0.12</v>
      </c>
      <c r="S321" s="69">
        <v>0.6</v>
      </c>
      <c r="T321" s="69"/>
      <c r="U321" s="96">
        <v>32.71</v>
      </c>
      <c r="V321" s="69">
        <f>D338*U338/1000</f>
        <v>2.8607999999999998</v>
      </c>
      <c r="W321" s="54"/>
    </row>
    <row r="322" spans="1:23" x14ac:dyDescent="0.2">
      <c r="A322" s="54"/>
      <c r="B322" s="69"/>
      <c r="C322" s="69" t="s">
        <v>36</v>
      </c>
      <c r="D322" s="159">
        <v>3</v>
      </c>
      <c r="E322" s="159">
        <v>3</v>
      </c>
      <c r="F322" s="69">
        <v>0.17</v>
      </c>
      <c r="G322" s="69">
        <v>0</v>
      </c>
      <c r="H322" s="85">
        <v>0.8</v>
      </c>
      <c r="I322" s="85">
        <v>3.7</v>
      </c>
      <c r="J322" s="69">
        <v>31.5</v>
      </c>
      <c r="K322" s="69">
        <v>0.72</v>
      </c>
      <c r="L322" s="69">
        <v>1.8</v>
      </c>
      <c r="M322" s="69">
        <v>2.4</v>
      </c>
      <c r="N322" s="69">
        <v>0</v>
      </c>
      <c r="O322" s="69">
        <v>0</v>
      </c>
      <c r="P322" s="69">
        <v>0</v>
      </c>
      <c r="Q322" s="69">
        <v>0</v>
      </c>
      <c r="R322" s="70">
        <v>0</v>
      </c>
      <c r="S322" s="69">
        <v>1.6</v>
      </c>
      <c r="T322" s="69"/>
      <c r="U322" s="96">
        <v>120</v>
      </c>
      <c r="V322" s="69">
        <f t="shared" ref="V322:V327" si="25">D339*U339/1000</f>
        <v>0.31792000000000004</v>
      </c>
      <c r="W322" s="54"/>
    </row>
    <row r="323" spans="1:23" x14ac:dyDescent="0.2">
      <c r="A323" s="54"/>
      <c r="B323" s="69"/>
      <c r="C323" s="69" t="s">
        <v>33</v>
      </c>
      <c r="D323" s="159">
        <v>12</v>
      </c>
      <c r="E323" s="159">
        <v>9.8000000000000007</v>
      </c>
      <c r="F323" s="69">
        <v>0.15</v>
      </c>
      <c r="G323" s="69">
        <v>0</v>
      </c>
      <c r="H323" s="69">
        <v>0.85</v>
      </c>
      <c r="I323" s="69">
        <v>4.2</v>
      </c>
      <c r="J323" s="69">
        <v>17.600000000000001</v>
      </c>
      <c r="K323" s="69">
        <v>3.1</v>
      </c>
      <c r="L323" s="69">
        <v>1.4</v>
      </c>
      <c r="M323" s="69">
        <v>5.8</v>
      </c>
      <c r="N323" s="69">
        <v>0</v>
      </c>
      <c r="O323" s="69">
        <v>0</v>
      </c>
      <c r="P323" s="69">
        <v>0</v>
      </c>
      <c r="Q323" s="69">
        <v>0</v>
      </c>
      <c r="R323" s="70">
        <v>0.02</v>
      </c>
      <c r="S323" s="69">
        <v>1</v>
      </c>
      <c r="T323" s="69"/>
      <c r="U323" s="96">
        <v>29.62</v>
      </c>
      <c r="V323" s="69">
        <f t="shared" si="25"/>
        <v>0.41076000000000001</v>
      </c>
      <c r="W323" s="54"/>
    </row>
    <row r="324" spans="1:23" x14ac:dyDescent="0.2">
      <c r="A324" s="54"/>
      <c r="B324" s="69"/>
      <c r="C324" s="69" t="s">
        <v>49</v>
      </c>
      <c r="D324" s="159">
        <v>49</v>
      </c>
      <c r="E324" s="159">
        <v>49</v>
      </c>
      <c r="F324" s="69">
        <v>3.68</v>
      </c>
      <c r="G324" s="69">
        <v>0.53</v>
      </c>
      <c r="H324" s="69">
        <v>37.5</v>
      </c>
      <c r="I324" s="69">
        <v>173.25</v>
      </c>
      <c r="J324" s="69">
        <v>28.35</v>
      </c>
      <c r="K324" s="85">
        <v>12.6</v>
      </c>
      <c r="L324" s="69">
        <v>11</v>
      </c>
      <c r="M324" s="69">
        <v>50.93</v>
      </c>
      <c r="N324" s="69">
        <v>0.85</v>
      </c>
      <c r="O324" s="69">
        <v>0</v>
      </c>
      <c r="P324" s="69">
        <v>0.04</v>
      </c>
      <c r="Q324" s="69">
        <v>0.02</v>
      </c>
      <c r="R324" s="70">
        <v>0.84</v>
      </c>
      <c r="S324" s="69">
        <v>0</v>
      </c>
      <c r="T324" s="69"/>
      <c r="U324" s="96">
        <v>56.43</v>
      </c>
      <c r="V324" s="69">
        <f t="shared" si="25"/>
        <v>0.34599999999999997</v>
      </c>
      <c r="W324" s="54"/>
    </row>
    <row r="325" spans="1:23" x14ac:dyDescent="0.2">
      <c r="A325" s="54"/>
      <c r="B325" s="69"/>
      <c r="C325" s="69" t="s">
        <v>46</v>
      </c>
      <c r="D325" s="159">
        <v>2</v>
      </c>
      <c r="E325" s="159">
        <v>2</v>
      </c>
      <c r="F325" s="69">
        <v>0</v>
      </c>
      <c r="G325" s="69">
        <v>0</v>
      </c>
      <c r="H325" s="69">
        <v>0</v>
      </c>
      <c r="I325" s="69">
        <v>0</v>
      </c>
      <c r="J325" s="69">
        <v>0</v>
      </c>
      <c r="K325" s="69">
        <v>0</v>
      </c>
      <c r="L325" s="69">
        <v>0</v>
      </c>
      <c r="M325" s="69">
        <v>0</v>
      </c>
      <c r="N325" s="69">
        <v>0</v>
      </c>
      <c r="O325" s="69">
        <v>0</v>
      </c>
      <c r="P325" s="69">
        <v>0</v>
      </c>
      <c r="Q325" s="69">
        <v>0</v>
      </c>
      <c r="R325" s="70">
        <v>0</v>
      </c>
      <c r="S325" s="69">
        <v>0</v>
      </c>
      <c r="T325" s="69"/>
      <c r="U325" s="96">
        <v>11.63</v>
      </c>
      <c r="V325" s="69">
        <f t="shared" si="25"/>
        <v>0.14080000000000001</v>
      </c>
      <c r="W325" s="54"/>
    </row>
    <row r="326" spans="1:23" x14ac:dyDescent="0.2">
      <c r="A326" s="54"/>
      <c r="B326" s="69"/>
      <c r="C326" s="39" t="s">
        <v>47</v>
      </c>
      <c r="D326" s="3"/>
      <c r="E326" s="3"/>
      <c r="F326" s="3">
        <f>SUM(F319:F325)</f>
        <v>22.86</v>
      </c>
      <c r="G326" s="3">
        <f t="shared" ref="G326:S326" si="26">SUM(G319:G325)</f>
        <v>27.130000000000003</v>
      </c>
      <c r="H326" s="3">
        <f t="shared" si="26"/>
        <v>39.979999999999997</v>
      </c>
      <c r="I326" s="3">
        <f t="shared" si="26"/>
        <v>499.74999999999994</v>
      </c>
      <c r="J326" s="3">
        <f t="shared" si="26"/>
        <v>337.45000000000005</v>
      </c>
      <c r="K326" s="3">
        <f t="shared" si="26"/>
        <v>33.619999999999997</v>
      </c>
      <c r="L326" s="3">
        <f t="shared" si="26"/>
        <v>37.76</v>
      </c>
      <c r="M326" s="3">
        <f t="shared" si="26"/>
        <v>225.73000000000002</v>
      </c>
      <c r="N326" s="3">
        <f t="shared" si="26"/>
        <v>2.23</v>
      </c>
      <c r="O326" s="3">
        <f t="shared" si="26"/>
        <v>0.04</v>
      </c>
      <c r="P326" s="3">
        <f t="shared" si="26"/>
        <v>0.13</v>
      </c>
      <c r="Q326" s="3">
        <f t="shared" si="26"/>
        <v>0.16999999999999998</v>
      </c>
      <c r="R326" s="50">
        <f t="shared" si="26"/>
        <v>7.0799999999999992</v>
      </c>
      <c r="S326" s="3">
        <f t="shared" si="26"/>
        <v>5.2</v>
      </c>
      <c r="T326" s="69"/>
      <c r="U326" s="96"/>
      <c r="V326" s="69">
        <f t="shared" si="25"/>
        <v>1.7808000000000004E-2</v>
      </c>
      <c r="W326" s="54"/>
    </row>
    <row r="327" spans="1:23" x14ac:dyDescent="0.2">
      <c r="A327" s="54"/>
      <c r="B327" s="69"/>
      <c r="C327" s="19" t="s">
        <v>74</v>
      </c>
      <c r="D327" s="313" t="s">
        <v>75</v>
      </c>
      <c r="E327" s="316"/>
      <c r="F327" s="131"/>
      <c r="G327" s="131"/>
      <c r="H327" s="131"/>
      <c r="I327" s="131"/>
      <c r="J327" s="133"/>
      <c r="K327" s="131"/>
      <c r="L327" s="131"/>
      <c r="M327" s="133"/>
      <c r="N327" s="131"/>
      <c r="O327" s="131"/>
      <c r="P327" s="131"/>
      <c r="Q327" s="131"/>
      <c r="R327" s="134"/>
      <c r="S327" s="4"/>
      <c r="T327" s="168"/>
      <c r="U327" s="84"/>
      <c r="V327" s="69">
        <f t="shared" si="25"/>
        <v>0</v>
      </c>
      <c r="W327" s="54"/>
    </row>
    <row r="328" spans="1:23" x14ac:dyDescent="0.2">
      <c r="A328" s="54"/>
      <c r="B328" s="69" t="s">
        <v>73</v>
      </c>
      <c r="C328" s="155" t="s">
        <v>40</v>
      </c>
      <c r="D328" s="178">
        <v>50</v>
      </c>
      <c r="E328" s="178">
        <v>50</v>
      </c>
      <c r="F328" s="157">
        <v>0.1</v>
      </c>
      <c r="G328" s="157">
        <v>0</v>
      </c>
      <c r="H328" s="157">
        <v>0</v>
      </c>
      <c r="I328" s="157">
        <v>0.8</v>
      </c>
      <c r="J328" s="158">
        <v>12.4</v>
      </c>
      <c r="K328" s="157">
        <v>2.5</v>
      </c>
      <c r="L328" s="157">
        <v>2.2000000000000002</v>
      </c>
      <c r="M328" s="158">
        <v>4.0999999999999996</v>
      </c>
      <c r="N328" s="157">
        <v>0.4</v>
      </c>
      <c r="O328" s="157">
        <v>0</v>
      </c>
      <c r="P328" s="157">
        <v>0</v>
      </c>
      <c r="Q328" s="157">
        <v>0</v>
      </c>
      <c r="R328" s="179">
        <v>0</v>
      </c>
      <c r="S328" s="144">
        <v>0</v>
      </c>
      <c r="T328" s="176">
        <v>539.16999999999996</v>
      </c>
      <c r="U328" s="157">
        <v>0.53900000000000003</v>
      </c>
      <c r="V328" s="69">
        <f>SUM(V321:V327)</f>
        <v>4.0940879999999993</v>
      </c>
      <c r="W328" s="54"/>
    </row>
    <row r="329" spans="1:23" x14ac:dyDescent="0.2">
      <c r="A329" s="54"/>
      <c r="B329" s="144"/>
      <c r="C329" s="155" t="s">
        <v>30</v>
      </c>
      <c r="D329" s="178">
        <v>15</v>
      </c>
      <c r="E329" s="178">
        <v>15</v>
      </c>
      <c r="F329" s="157">
        <v>0</v>
      </c>
      <c r="G329" s="157">
        <v>0</v>
      </c>
      <c r="H329" s="157">
        <v>15</v>
      </c>
      <c r="I329" s="157">
        <v>56.9</v>
      </c>
      <c r="J329" s="158">
        <v>0.5</v>
      </c>
      <c r="K329" s="157">
        <v>0.4</v>
      </c>
      <c r="L329" s="157">
        <v>0</v>
      </c>
      <c r="M329" s="158">
        <v>0</v>
      </c>
      <c r="N329" s="157">
        <v>0</v>
      </c>
      <c r="O329" s="157">
        <v>0</v>
      </c>
      <c r="P329" s="157">
        <v>0</v>
      </c>
      <c r="Q329" s="157">
        <v>0</v>
      </c>
      <c r="R329" s="179">
        <v>0</v>
      </c>
      <c r="S329" s="144">
        <v>0</v>
      </c>
      <c r="T329" s="176">
        <v>50.97</v>
      </c>
      <c r="U329" s="157">
        <v>0.76500000000000001</v>
      </c>
      <c r="V329" s="84"/>
      <c r="W329" s="54"/>
    </row>
    <row r="330" spans="1:23" x14ac:dyDescent="0.2">
      <c r="B330" s="144"/>
      <c r="C330" s="155" t="s">
        <v>35</v>
      </c>
      <c r="D330" s="178">
        <v>150</v>
      </c>
      <c r="E330" s="178">
        <v>150</v>
      </c>
      <c r="F330" s="157">
        <v>0</v>
      </c>
      <c r="G330" s="157">
        <v>0</v>
      </c>
      <c r="H330" s="157">
        <v>0</v>
      </c>
      <c r="I330" s="157">
        <v>0</v>
      </c>
      <c r="J330" s="157">
        <v>0</v>
      </c>
      <c r="K330" s="157">
        <v>0</v>
      </c>
      <c r="L330" s="157">
        <v>0</v>
      </c>
      <c r="M330" s="157">
        <v>0</v>
      </c>
      <c r="N330" s="157">
        <v>0</v>
      </c>
      <c r="O330" s="157">
        <v>0</v>
      </c>
      <c r="P330" s="157">
        <v>0</v>
      </c>
      <c r="Q330" s="157">
        <v>0</v>
      </c>
      <c r="R330" s="179">
        <v>0</v>
      </c>
      <c r="S330" s="144">
        <v>0</v>
      </c>
      <c r="T330" s="176">
        <v>0</v>
      </c>
      <c r="U330" s="157">
        <v>0</v>
      </c>
      <c r="V330" s="157">
        <v>0</v>
      </c>
    </row>
    <row r="331" spans="1:23" x14ac:dyDescent="0.2">
      <c r="B331" s="144"/>
      <c r="C331" s="163" t="s">
        <v>47</v>
      </c>
      <c r="D331" s="138"/>
      <c r="E331" s="138"/>
      <c r="F331" s="138">
        <v>0.1</v>
      </c>
      <c r="G331" s="138">
        <v>0</v>
      </c>
      <c r="H331" s="138">
        <v>15</v>
      </c>
      <c r="I331" s="138">
        <v>57.7</v>
      </c>
      <c r="J331" s="138">
        <v>12.9</v>
      </c>
      <c r="K331" s="138">
        <v>2.9</v>
      </c>
      <c r="L331" s="138">
        <v>2.2000000000000002</v>
      </c>
      <c r="M331" s="138">
        <v>4.12</v>
      </c>
      <c r="N331" s="138">
        <v>0.4</v>
      </c>
      <c r="O331" s="138">
        <v>0</v>
      </c>
      <c r="P331" s="138">
        <v>0</v>
      </c>
      <c r="Q331" s="138">
        <v>0</v>
      </c>
      <c r="R331" s="149">
        <v>0</v>
      </c>
      <c r="S331" s="57">
        <v>0</v>
      </c>
      <c r="T331" s="139"/>
      <c r="U331" s="138">
        <v>1.304</v>
      </c>
      <c r="V331" s="157">
        <v>0</v>
      </c>
    </row>
    <row r="332" spans="1:23" x14ac:dyDescent="0.2">
      <c r="B332" s="144"/>
      <c r="C332" s="3" t="s">
        <v>105</v>
      </c>
      <c r="D332" s="3">
        <v>30</v>
      </c>
      <c r="E332" s="21">
        <v>30</v>
      </c>
      <c r="F332" s="3">
        <v>1.54</v>
      </c>
      <c r="G332" s="3">
        <v>0.6</v>
      </c>
      <c r="H332" s="3">
        <v>9.9600000000000009</v>
      </c>
      <c r="I332" s="3">
        <v>52.4</v>
      </c>
      <c r="J332" s="3">
        <v>25.4</v>
      </c>
      <c r="K332" s="3">
        <v>5.2</v>
      </c>
      <c r="L332" s="3">
        <v>7</v>
      </c>
      <c r="M332" s="3">
        <v>16.600000000000001</v>
      </c>
      <c r="N332" s="3">
        <v>0.32</v>
      </c>
      <c r="O332" s="3">
        <v>0</v>
      </c>
      <c r="P332" s="3">
        <v>3.2000000000000001E-2</v>
      </c>
      <c r="Q332" s="3">
        <v>1.6E-2</v>
      </c>
      <c r="R332" s="50">
        <v>0.308</v>
      </c>
      <c r="S332" s="3">
        <v>0</v>
      </c>
      <c r="T332" s="3">
        <v>29.29</v>
      </c>
      <c r="U332" s="32">
        <v>0.58584000000000003</v>
      </c>
      <c r="V332" s="157">
        <v>32</v>
      </c>
    </row>
    <row r="333" spans="1:23" x14ac:dyDescent="0.2">
      <c r="B333" s="69" t="s">
        <v>24</v>
      </c>
      <c r="C333" s="5" t="s">
        <v>106</v>
      </c>
      <c r="D333" s="69">
        <v>20</v>
      </c>
      <c r="E333" s="3">
        <v>20</v>
      </c>
      <c r="F333" s="69">
        <v>1.32</v>
      </c>
      <c r="G333" s="69">
        <v>0.24</v>
      </c>
      <c r="H333" s="69">
        <v>6.84</v>
      </c>
      <c r="I333" s="69">
        <v>36.200000000000003</v>
      </c>
      <c r="J333" s="69">
        <v>18.8</v>
      </c>
      <c r="K333" s="69">
        <v>6.8</v>
      </c>
      <c r="L333" s="69">
        <v>8.1999999999999993</v>
      </c>
      <c r="M333" s="69">
        <v>24</v>
      </c>
      <c r="N333" s="69">
        <v>0.46</v>
      </c>
      <c r="O333" s="69">
        <v>0</v>
      </c>
      <c r="P333" s="69">
        <v>2.1999999999999999E-2</v>
      </c>
      <c r="Q333" s="69">
        <v>1.6E-2</v>
      </c>
      <c r="R333" s="70">
        <v>0.128</v>
      </c>
      <c r="S333" s="69">
        <v>0</v>
      </c>
      <c r="T333" s="69">
        <v>35.9</v>
      </c>
      <c r="U333" s="32">
        <v>0.71799999999999997</v>
      </c>
      <c r="V333" s="157">
        <v>1.7</v>
      </c>
    </row>
    <row r="334" spans="1:23" x14ac:dyDescent="0.2">
      <c r="B334" s="69" t="s">
        <v>24</v>
      </c>
      <c r="C334" s="5" t="s">
        <v>25</v>
      </c>
      <c r="D334" s="69"/>
      <c r="E334" s="69"/>
      <c r="F334" s="69">
        <v>30.944849999999999</v>
      </c>
      <c r="G334" s="69">
        <v>30.7454</v>
      </c>
      <c r="H334" s="69">
        <v>111.6503</v>
      </c>
      <c r="I334" s="69">
        <v>774.44399999999996</v>
      </c>
      <c r="J334" s="69">
        <v>578.322</v>
      </c>
      <c r="K334" s="69">
        <v>78.557000000000002</v>
      </c>
      <c r="L334" s="69">
        <v>87.147000000000006</v>
      </c>
      <c r="M334" s="69">
        <v>221.18950000000001</v>
      </c>
      <c r="N334" s="69">
        <v>10.61295</v>
      </c>
      <c r="O334" s="69">
        <v>6.0689299999999999</v>
      </c>
      <c r="P334" s="69">
        <v>6.3124349999999998</v>
      </c>
      <c r="Q334" s="69">
        <v>6.2156500000000001</v>
      </c>
      <c r="R334" s="70">
        <v>12.089169999999999</v>
      </c>
      <c r="S334" s="69">
        <v>24.803999999999998</v>
      </c>
      <c r="T334" s="69"/>
      <c r="U334" s="96">
        <v>27.393854000000001</v>
      </c>
      <c r="V334" s="157">
        <v>2.16</v>
      </c>
    </row>
    <row r="335" spans="1:23" x14ac:dyDescent="0.2">
      <c r="B335" s="69"/>
      <c r="C335" s="130" t="s">
        <v>64</v>
      </c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70"/>
      <c r="S335" s="69"/>
      <c r="T335" s="69"/>
      <c r="U335" s="96"/>
      <c r="V335" s="157">
        <v>2</v>
      </c>
    </row>
    <row r="336" spans="1:23" x14ac:dyDescent="0.2">
      <c r="B336" s="69"/>
      <c r="C336" s="130" t="s">
        <v>1</v>
      </c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70"/>
      <c r="S336" s="69"/>
      <c r="T336" s="69"/>
      <c r="U336" s="96"/>
      <c r="V336" s="157">
        <v>0</v>
      </c>
    </row>
    <row r="337" spans="1:22" ht="25.5" x14ac:dyDescent="0.2">
      <c r="B337" s="69"/>
      <c r="C337" s="5" t="s">
        <v>102</v>
      </c>
      <c r="D337" s="69"/>
      <c r="E337" s="3">
        <v>200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70"/>
      <c r="U337" s="96"/>
      <c r="V337" s="157">
        <v>0</v>
      </c>
    </row>
    <row r="338" spans="1:22" x14ac:dyDescent="0.2">
      <c r="A338" s="26"/>
      <c r="B338" s="69" t="s">
        <v>101</v>
      </c>
      <c r="C338" s="65" t="s">
        <v>31</v>
      </c>
      <c r="D338" s="69">
        <v>80</v>
      </c>
      <c r="E338" s="69">
        <v>60</v>
      </c>
      <c r="F338" s="69">
        <f>2*E338/100</f>
        <v>1.2</v>
      </c>
      <c r="G338" s="69">
        <f>0.4*E338/100</f>
        <v>0.24</v>
      </c>
      <c r="H338" s="69">
        <f>16.3*E338/100</f>
        <v>9.7799999999999994</v>
      </c>
      <c r="I338" s="69">
        <f>77*E338/100</f>
        <v>46.2</v>
      </c>
      <c r="J338" s="69">
        <f>568*E338/100</f>
        <v>340.8</v>
      </c>
      <c r="K338" s="69">
        <f>10*E338/100</f>
        <v>6</v>
      </c>
      <c r="L338" s="69">
        <f>23*E338/100</f>
        <v>13.8</v>
      </c>
      <c r="M338" s="69">
        <f>58*E338/100</f>
        <v>34.799999999999997</v>
      </c>
      <c r="N338" s="69">
        <f>0.9*E338/100</f>
        <v>0.54</v>
      </c>
      <c r="O338" s="69">
        <v>0</v>
      </c>
      <c r="P338" s="69">
        <f>0.12*E338/100</f>
        <v>7.1999999999999995E-2</v>
      </c>
      <c r="Q338" s="69">
        <f>0.07*E338/100</f>
        <v>4.2000000000000003E-2</v>
      </c>
      <c r="R338" s="69">
        <f>1.3*E338/100</f>
        <v>0.78</v>
      </c>
      <c r="S338" s="69">
        <f>20*E338/100</f>
        <v>12</v>
      </c>
      <c r="T338" s="70"/>
      <c r="U338" s="96">
        <v>35.76</v>
      </c>
      <c r="V338" s="138">
        <v>37.86</v>
      </c>
    </row>
    <row r="339" spans="1:22" ht="25.5" x14ac:dyDescent="0.2">
      <c r="A339" s="26"/>
      <c r="B339" s="69"/>
      <c r="C339" s="65" t="s">
        <v>103</v>
      </c>
      <c r="D339" s="69">
        <v>8</v>
      </c>
      <c r="E339" s="69">
        <v>8</v>
      </c>
      <c r="F339" s="66">
        <f>10.4*E339/100</f>
        <v>0.83200000000000007</v>
      </c>
      <c r="G339" s="66">
        <f>1.1*E339/100</f>
        <v>8.8000000000000009E-2</v>
      </c>
      <c r="H339" s="66">
        <f>69.7*E339/100</f>
        <v>5.5760000000000005</v>
      </c>
      <c r="I339" s="66">
        <f>337*E339/100</f>
        <v>26.96</v>
      </c>
      <c r="J339" s="66">
        <f>124*E339/100</f>
        <v>9.92</v>
      </c>
      <c r="K339" s="66">
        <f>18*E339/100</f>
        <v>1.44</v>
      </c>
      <c r="L339" s="66">
        <f>16*E339/100</f>
        <v>1.28</v>
      </c>
      <c r="M339" s="66">
        <f>1.2*E339/100</f>
        <v>9.6000000000000002E-2</v>
      </c>
      <c r="N339" s="66">
        <f>1.2*E339/100</f>
        <v>9.6000000000000002E-2</v>
      </c>
      <c r="O339" s="66">
        <v>0</v>
      </c>
      <c r="P339" s="66">
        <f>0.17*E339/100</f>
        <v>1.3600000000000001E-2</v>
      </c>
      <c r="Q339" s="66">
        <f>0.08*E339/100</f>
        <v>6.4000000000000003E-3</v>
      </c>
      <c r="R339" s="66">
        <f>1.21*E339/100</f>
        <v>9.6799999999999997E-2</v>
      </c>
      <c r="S339" s="66">
        <v>0</v>
      </c>
      <c r="T339" s="70"/>
      <c r="U339" s="96">
        <v>39.74</v>
      </c>
      <c r="V339" s="21"/>
    </row>
    <row r="340" spans="1:22" x14ac:dyDescent="0.2">
      <c r="A340" s="26"/>
      <c r="B340" s="69"/>
      <c r="C340" s="65" t="s">
        <v>33</v>
      </c>
      <c r="D340" s="69">
        <v>12</v>
      </c>
      <c r="E340" s="69">
        <v>9.6</v>
      </c>
      <c r="F340" s="69">
        <f>1.3*E340/100</f>
        <v>0.12480000000000001</v>
      </c>
      <c r="G340" s="69">
        <f>0.1*E340/100</f>
        <v>9.5999999999999992E-3</v>
      </c>
      <c r="H340" s="69">
        <f>6.9*E340/100</f>
        <v>0.66239999999999999</v>
      </c>
      <c r="I340" s="69">
        <f>35*E340/100</f>
        <v>3.36</v>
      </c>
      <c r="J340" s="69">
        <f>200*E340/100</f>
        <v>19.2</v>
      </c>
      <c r="K340" s="69">
        <f>27*E340/100</f>
        <v>2.5920000000000001</v>
      </c>
      <c r="L340" s="69">
        <f>38*E340/100</f>
        <v>3.6480000000000001</v>
      </c>
      <c r="M340" s="69">
        <f>55*E340/100</f>
        <v>5.28</v>
      </c>
      <c r="N340" s="69">
        <f>0.7*E340/100</f>
        <v>6.7199999999999996E-2</v>
      </c>
      <c r="O340" s="69">
        <v>0</v>
      </c>
      <c r="P340" s="69">
        <f>0.06*E340/100</f>
        <v>5.7599999999999995E-3</v>
      </c>
      <c r="Q340" s="69">
        <f>0.07*E340/100</f>
        <v>6.7200000000000003E-3</v>
      </c>
      <c r="R340" s="69">
        <f>1*E340/100</f>
        <v>9.6000000000000002E-2</v>
      </c>
      <c r="S340" s="69">
        <f>5*E340/100</f>
        <v>0.48</v>
      </c>
      <c r="T340" s="70"/>
      <c r="U340" s="96">
        <v>34.229999999999997</v>
      </c>
      <c r="V340" s="157">
        <v>0.53900000000000003</v>
      </c>
    </row>
    <row r="341" spans="1:22" x14ac:dyDescent="0.2">
      <c r="A341" s="26"/>
      <c r="B341" s="69"/>
      <c r="C341" s="65" t="s">
        <v>32</v>
      </c>
      <c r="D341" s="69">
        <v>10</v>
      </c>
      <c r="E341" s="69">
        <v>8</v>
      </c>
      <c r="F341" s="69">
        <f>1.3*E341/100</f>
        <v>0.10400000000000001</v>
      </c>
      <c r="G341" s="69">
        <f>0.1*E341/100</f>
        <v>8.0000000000000002E-3</v>
      </c>
      <c r="H341" s="69">
        <f>6.9*E341/100</f>
        <v>0.55200000000000005</v>
      </c>
      <c r="I341" s="69">
        <f>35*E341/100</f>
        <v>2.8</v>
      </c>
      <c r="J341" s="69">
        <f>200*E341/100</f>
        <v>16</v>
      </c>
      <c r="K341" s="69">
        <f>27*E341/100</f>
        <v>2.16</v>
      </c>
      <c r="L341" s="69">
        <f>38*E341/100</f>
        <v>3.04</v>
      </c>
      <c r="M341" s="69">
        <f>55*E341/100</f>
        <v>4.4000000000000004</v>
      </c>
      <c r="N341" s="69">
        <f>0.7*E341/100</f>
        <v>5.5999999999999994E-2</v>
      </c>
      <c r="O341" s="69">
        <v>0</v>
      </c>
      <c r="P341" s="69">
        <f>0.06*E341/100</f>
        <v>4.7999999999999996E-3</v>
      </c>
      <c r="Q341" s="69">
        <f>0.07*E341/100</f>
        <v>5.6000000000000008E-3</v>
      </c>
      <c r="R341" s="69">
        <f>1*E341/100</f>
        <v>0.08</v>
      </c>
      <c r="S341" s="69">
        <f>5*E341/100</f>
        <v>0.4</v>
      </c>
      <c r="T341" s="70"/>
      <c r="U341" s="96">
        <v>34.6</v>
      </c>
      <c r="V341" s="157">
        <v>0.76500000000000001</v>
      </c>
    </row>
    <row r="342" spans="1:22" ht="25.5" x14ac:dyDescent="0.2">
      <c r="A342" s="26"/>
      <c r="B342" s="69"/>
      <c r="C342" s="65" t="s">
        <v>34</v>
      </c>
      <c r="D342" s="69">
        <v>2</v>
      </c>
      <c r="E342" s="69">
        <v>2</v>
      </c>
      <c r="F342" s="69">
        <v>0</v>
      </c>
      <c r="G342" s="69">
        <f>99.9*E342/100</f>
        <v>1.9980000000000002</v>
      </c>
      <c r="H342" s="69">
        <f>0</f>
        <v>0</v>
      </c>
      <c r="I342" s="69">
        <f>899*E342/100</f>
        <v>17.98</v>
      </c>
      <c r="J342" s="86">
        <v>0</v>
      </c>
      <c r="K342" s="69">
        <v>0</v>
      </c>
      <c r="L342" s="69">
        <v>0</v>
      </c>
      <c r="M342" s="87">
        <v>0</v>
      </c>
      <c r="N342" s="69">
        <v>0</v>
      </c>
      <c r="O342" s="69">
        <v>0</v>
      </c>
      <c r="P342" s="69">
        <v>0</v>
      </c>
      <c r="Q342" s="69">
        <v>0</v>
      </c>
      <c r="R342" s="69">
        <v>0</v>
      </c>
      <c r="S342" s="69">
        <v>0</v>
      </c>
      <c r="T342" s="70"/>
      <c r="U342" s="96">
        <v>70.400000000000006</v>
      </c>
      <c r="V342" s="157">
        <v>0</v>
      </c>
    </row>
    <row r="343" spans="1:22" x14ac:dyDescent="0.2">
      <c r="A343" s="26"/>
      <c r="B343" s="69"/>
      <c r="C343" s="65" t="s">
        <v>46</v>
      </c>
      <c r="D343" s="69">
        <v>1.6</v>
      </c>
      <c r="E343" s="69">
        <v>1.6</v>
      </c>
      <c r="F343" s="69">
        <v>0</v>
      </c>
      <c r="G343" s="69">
        <v>0</v>
      </c>
      <c r="H343" s="69">
        <v>0</v>
      </c>
      <c r="I343" s="69">
        <v>0</v>
      </c>
      <c r="J343" s="69">
        <v>0</v>
      </c>
      <c r="K343" s="69">
        <v>0</v>
      </c>
      <c r="L343" s="69">
        <v>0</v>
      </c>
      <c r="M343" s="69">
        <v>0</v>
      </c>
      <c r="N343" s="69">
        <v>0</v>
      </c>
      <c r="O343" s="69">
        <v>0</v>
      </c>
      <c r="P343" s="69">
        <v>0</v>
      </c>
      <c r="Q343" s="69">
        <v>0</v>
      </c>
      <c r="R343" s="69">
        <v>0</v>
      </c>
      <c r="S343" s="69">
        <v>0</v>
      </c>
      <c r="T343" s="70"/>
      <c r="U343" s="96">
        <v>11.13</v>
      </c>
      <c r="V343" s="138">
        <v>1.304</v>
      </c>
    </row>
    <row r="344" spans="1:22" x14ac:dyDescent="0.2">
      <c r="A344" s="26"/>
      <c r="B344" s="69"/>
      <c r="C344" s="65" t="s">
        <v>35</v>
      </c>
      <c r="D344" s="69">
        <v>140</v>
      </c>
      <c r="E344" s="69">
        <v>140</v>
      </c>
      <c r="F344" s="69">
        <v>0</v>
      </c>
      <c r="G344" s="69">
        <v>0</v>
      </c>
      <c r="H344" s="69">
        <v>0</v>
      </c>
      <c r="I344" s="69">
        <v>0</v>
      </c>
      <c r="J344" s="69">
        <v>0</v>
      </c>
      <c r="K344" s="69">
        <v>0</v>
      </c>
      <c r="L344" s="69">
        <v>0</v>
      </c>
      <c r="M344" s="69">
        <v>0</v>
      </c>
      <c r="N344" s="69">
        <v>0</v>
      </c>
      <c r="O344" s="69">
        <v>0</v>
      </c>
      <c r="P344" s="69">
        <v>0</v>
      </c>
      <c r="Q344" s="69">
        <v>0</v>
      </c>
      <c r="R344" s="69">
        <v>0</v>
      </c>
      <c r="S344" s="69">
        <v>0</v>
      </c>
      <c r="T344" s="70"/>
      <c r="U344" s="96">
        <v>0</v>
      </c>
      <c r="V344" s="96">
        <v>0.58584000000000003</v>
      </c>
    </row>
    <row r="345" spans="1:22" x14ac:dyDescent="0.2">
      <c r="A345" s="26"/>
      <c r="B345" s="69"/>
      <c r="C345" s="3" t="s">
        <v>77</v>
      </c>
      <c r="D345" s="3"/>
      <c r="E345" s="3"/>
      <c r="F345" s="3">
        <f>SUM(F338:F344)</f>
        <v>2.2608000000000001</v>
      </c>
      <c r="G345" s="3">
        <f t="shared" ref="G345:T345" si="27">SUM(G338:G344)</f>
        <v>2.3436000000000003</v>
      </c>
      <c r="H345" s="3">
        <f t="shared" si="27"/>
        <v>16.570399999999999</v>
      </c>
      <c r="I345" s="3">
        <f t="shared" si="27"/>
        <v>97.3</v>
      </c>
      <c r="J345" s="3">
        <f t="shared" si="27"/>
        <v>385.92</v>
      </c>
      <c r="K345" s="3">
        <f t="shared" si="27"/>
        <v>12.192</v>
      </c>
      <c r="L345" s="3">
        <f t="shared" si="27"/>
        <v>21.768000000000001</v>
      </c>
      <c r="M345" s="3">
        <f t="shared" si="27"/>
        <v>44.575999999999993</v>
      </c>
      <c r="N345" s="3">
        <f t="shared" si="27"/>
        <v>0.7592000000000001</v>
      </c>
      <c r="O345" s="3">
        <f t="shared" si="27"/>
        <v>0</v>
      </c>
      <c r="P345" s="3">
        <f t="shared" si="27"/>
        <v>9.6159999999999995E-2</v>
      </c>
      <c r="Q345" s="3">
        <f t="shared" si="27"/>
        <v>6.0720000000000003E-2</v>
      </c>
      <c r="R345" s="3">
        <f t="shared" si="27"/>
        <v>1.0528</v>
      </c>
      <c r="S345" s="3">
        <f t="shared" si="27"/>
        <v>12.88</v>
      </c>
      <c r="T345" s="50">
        <f t="shared" si="27"/>
        <v>0</v>
      </c>
      <c r="U345" s="32"/>
      <c r="V345" s="96">
        <v>0.71799999999999997</v>
      </c>
    </row>
    <row r="346" spans="1:22" x14ac:dyDescent="0.2">
      <c r="A346" s="26"/>
      <c r="B346" s="69"/>
      <c r="C346" s="145" t="s">
        <v>116</v>
      </c>
      <c r="D346" s="313" t="s">
        <v>117</v>
      </c>
      <c r="E346" s="314"/>
      <c r="F346" s="131"/>
      <c r="G346" s="131"/>
      <c r="H346" s="131"/>
      <c r="I346" s="131"/>
      <c r="J346" s="132"/>
      <c r="K346" s="131"/>
      <c r="L346" s="131"/>
      <c r="M346" s="132"/>
      <c r="N346" s="131"/>
      <c r="O346" s="131"/>
      <c r="P346" s="131"/>
      <c r="Q346" s="131"/>
      <c r="R346" s="131"/>
      <c r="S346" s="131"/>
      <c r="T346" s="69"/>
      <c r="U346" s="96"/>
      <c r="V346" s="32">
        <v>30.035110499999998</v>
      </c>
    </row>
    <row r="347" spans="1:22" x14ac:dyDescent="0.2">
      <c r="A347" s="26"/>
      <c r="B347" s="3" t="s">
        <v>115</v>
      </c>
      <c r="C347" s="181" t="s">
        <v>44</v>
      </c>
      <c r="D347" s="178">
        <v>153.6</v>
      </c>
      <c r="E347" s="178">
        <v>108.8</v>
      </c>
      <c r="F347" s="157">
        <v>25.4</v>
      </c>
      <c r="G347" s="157">
        <v>21.9</v>
      </c>
      <c r="H347" s="157">
        <v>0</v>
      </c>
      <c r="I347" s="157">
        <v>299.2</v>
      </c>
      <c r="J347" s="175">
        <v>326</v>
      </c>
      <c r="K347" s="157">
        <v>27.2</v>
      </c>
      <c r="L347" s="157">
        <v>43.5</v>
      </c>
      <c r="M347" s="158">
        <v>405</v>
      </c>
      <c r="N347" s="157">
        <v>4.0999999999999996</v>
      </c>
      <c r="O347" s="157">
        <v>0.09</v>
      </c>
      <c r="P347" s="157">
        <v>0.09</v>
      </c>
      <c r="Q347" s="157">
        <v>0.19</v>
      </c>
      <c r="R347" s="157">
        <v>4.9000000000000004</v>
      </c>
      <c r="S347" s="157">
        <v>0</v>
      </c>
      <c r="T347" s="69"/>
      <c r="U347" s="157">
        <v>0</v>
      </c>
      <c r="V347" s="170"/>
    </row>
    <row r="348" spans="1:22" x14ac:dyDescent="0.2">
      <c r="A348" s="26"/>
      <c r="B348" s="57"/>
      <c r="C348" s="182" t="s">
        <v>34</v>
      </c>
      <c r="D348" s="178">
        <v>8</v>
      </c>
      <c r="E348" s="178">
        <v>8</v>
      </c>
      <c r="F348" s="157">
        <v>0</v>
      </c>
      <c r="G348" s="157">
        <v>12</v>
      </c>
      <c r="H348" s="157">
        <v>0</v>
      </c>
      <c r="I348" s="157">
        <v>108</v>
      </c>
      <c r="J348" s="175">
        <v>0</v>
      </c>
      <c r="K348" s="157">
        <v>0</v>
      </c>
      <c r="L348" s="157">
        <v>0</v>
      </c>
      <c r="M348" s="158">
        <v>0</v>
      </c>
      <c r="N348" s="157">
        <v>0</v>
      </c>
      <c r="O348" s="157">
        <v>0</v>
      </c>
      <c r="P348" s="157">
        <v>0</v>
      </c>
      <c r="Q348" s="157">
        <v>0</v>
      </c>
      <c r="R348" s="157">
        <v>0</v>
      </c>
      <c r="S348" s="157">
        <v>0</v>
      </c>
      <c r="T348" s="69"/>
      <c r="U348" s="157">
        <v>0</v>
      </c>
      <c r="V348" s="3">
        <v>340.18</v>
      </c>
    </row>
    <row r="349" spans="1:22" x14ac:dyDescent="0.2">
      <c r="A349" s="26"/>
      <c r="B349" s="57"/>
      <c r="C349" s="181" t="s">
        <v>31</v>
      </c>
      <c r="D349" s="178">
        <v>128.4</v>
      </c>
      <c r="E349" s="178">
        <v>96</v>
      </c>
      <c r="F349" s="157">
        <v>3.2</v>
      </c>
      <c r="G349" s="157">
        <v>0.6</v>
      </c>
      <c r="H349" s="157">
        <v>26.2</v>
      </c>
      <c r="I349" s="157">
        <v>123.2</v>
      </c>
      <c r="J349" s="175">
        <v>909</v>
      </c>
      <c r="K349" s="157">
        <v>16</v>
      </c>
      <c r="L349" s="157">
        <v>36.799999999999997</v>
      </c>
      <c r="M349" s="158">
        <v>92.8</v>
      </c>
      <c r="N349" s="157">
        <v>1.44</v>
      </c>
      <c r="O349" s="157">
        <v>0.03</v>
      </c>
      <c r="P349" s="157">
        <v>0.19</v>
      </c>
      <c r="Q349" s="157">
        <v>0.08</v>
      </c>
      <c r="R349" s="157">
        <v>1.44</v>
      </c>
      <c r="S349" s="157">
        <v>32</v>
      </c>
      <c r="T349" s="69"/>
      <c r="U349" s="157">
        <v>32</v>
      </c>
      <c r="V349" s="3">
        <v>34</v>
      </c>
    </row>
    <row r="350" spans="1:22" x14ac:dyDescent="0.2">
      <c r="B350" s="57"/>
      <c r="C350" s="181" t="s">
        <v>32</v>
      </c>
      <c r="D350" s="178">
        <v>25</v>
      </c>
      <c r="E350" s="178">
        <v>20.399999999999999</v>
      </c>
      <c r="F350" s="157">
        <v>0.4</v>
      </c>
      <c r="G350" s="157">
        <v>0</v>
      </c>
      <c r="H350" s="157">
        <v>2.2999999999999998</v>
      </c>
      <c r="I350" s="157">
        <v>11.9</v>
      </c>
      <c r="J350" s="175">
        <v>68</v>
      </c>
      <c r="K350" s="157">
        <v>17.3</v>
      </c>
      <c r="L350" s="157">
        <v>13</v>
      </c>
      <c r="M350" s="158">
        <v>18.7</v>
      </c>
      <c r="N350" s="157">
        <v>0.4</v>
      </c>
      <c r="O350" s="157">
        <v>3.1</v>
      </c>
      <c r="P350" s="157">
        <v>0.02</v>
      </c>
      <c r="Q350" s="157">
        <v>0.02</v>
      </c>
      <c r="R350" s="157">
        <v>0.34</v>
      </c>
      <c r="S350" s="157">
        <v>1.7</v>
      </c>
      <c r="T350" s="69"/>
      <c r="U350" s="157">
        <v>1.7</v>
      </c>
      <c r="V350" s="69"/>
    </row>
    <row r="351" spans="1:22" x14ac:dyDescent="0.2">
      <c r="B351" s="57"/>
      <c r="C351" s="181" t="s">
        <v>36</v>
      </c>
      <c r="D351" s="178">
        <v>3</v>
      </c>
      <c r="E351" s="178">
        <v>3</v>
      </c>
      <c r="F351" s="157">
        <v>0.2</v>
      </c>
      <c r="G351" s="157">
        <v>0</v>
      </c>
      <c r="H351" s="157">
        <v>1</v>
      </c>
      <c r="I351" s="157">
        <v>5.0999999999999996</v>
      </c>
      <c r="J351" s="175">
        <v>42</v>
      </c>
      <c r="K351" s="157">
        <v>3.7</v>
      </c>
      <c r="L351" s="157">
        <v>1.4</v>
      </c>
      <c r="M351" s="158">
        <v>3.3</v>
      </c>
      <c r="N351" s="157">
        <v>0.1</v>
      </c>
      <c r="O351" s="157">
        <v>0.1</v>
      </c>
      <c r="P351" s="157">
        <v>0</v>
      </c>
      <c r="Q351" s="157">
        <v>0</v>
      </c>
      <c r="R351" s="157">
        <v>0.04</v>
      </c>
      <c r="S351" s="157">
        <v>2.16</v>
      </c>
      <c r="T351" s="69"/>
      <c r="U351" s="157">
        <v>2.16</v>
      </c>
      <c r="V351" s="54"/>
    </row>
    <row r="352" spans="1:22" x14ac:dyDescent="0.2">
      <c r="B352" s="57"/>
      <c r="C352" s="181" t="s">
        <v>33</v>
      </c>
      <c r="D352" s="178">
        <v>14.4</v>
      </c>
      <c r="E352" s="178">
        <v>12</v>
      </c>
      <c r="F352" s="157">
        <v>0.3</v>
      </c>
      <c r="G352" s="157">
        <v>0</v>
      </c>
      <c r="H352" s="157">
        <v>1.6</v>
      </c>
      <c r="I352" s="157">
        <v>8.1999999999999993</v>
      </c>
      <c r="J352" s="175">
        <v>35</v>
      </c>
      <c r="K352" s="157">
        <v>6.2</v>
      </c>
      <c r="L352" s="157">
        <v>2.8</v>
      </c>
      <c r="M352" s="158">
        <v>11.6</v>
      </c>
      <c r="N352" s="157">
        <v>0.16</v>
      </c>
      <c r="O352" s="157">
        <v>0</v>
      </c>
      <c r="P352" s="157">
        <v>0.01</v>
      </c>
      <c r="Q352" s="157">
        <v>0.01</v>
      </c>
      <c r="R352" s="157">
        <v>0.04</v>
      </c>
      <c r="S352" s="157">
        <v>2</v>
      </c>
      <c r="T352" s="69"/>
      <c r="U352" s="157">
        <v>2</v>
      </c>
      <c r="V352" s="54"/>
    </row>
    <row r="353" spans="2:22" x14ac:dyDescent="0.2">
      <c r="B353" s="144"/>
      <c r="C353" s="181" t="s">
        <v>38</v>
      </c>
      <c r="D353" s="178">
        <v>1</v>
      </c>
      <c r="E353" s="178">
        <v>1</v>
      </c>
      <c r="F353" s="157">
        <v>0.2</v>
      </c>
      <c r="G353" s="157">
        <v>0</v>
      </c>
      <c r="H353" s="157">
        <v>1.4</v>
      </c>
      <c r="I353" s="157">
        <v>6.7</v>
      </c>
      <c r="J353" s="175">
        <v>4</v>
      </c>
      <c r="K353" s="157">
        <v>0.5</v>
      </c>
      <c r="L353" s="157">
        <v>0.9</v>
      </c>
      <c r="M353" s="158">
        <v>2.2999999999999998</v>
      </c>
      <c r="N353" s="157">
        <v>0.04</v>
      </c>
      <c r="O353" s="157">
        <v>0</v>
      </c>
      <c r="P353" s="157">
        <v>0</v>
      </c>
      <c r="Q353" s="157">
        <v>0</v>
      </c>
      <c r="R353" s="157">
        <v>0.02</v>
      </c>
      <c r="S353" s="157">
        <v>0</v>
      </c>
      <c r="T353" s="69"/>
      <c r="U353" s="157">
        <v>0</v>
      </c>
      <c r="V353" s="54"/>
    </row>
    <row r="354" spans="2:22" x14ac:dyDescent="0.2">
      <c r="B354" s="57"/>
      <c r="C354" s="181" t="s">
        <v>46</v>
      </c>
      <c r="D354" s="178">
        <v>2</v>
      </c>
      <c r="E354" s="178">
        <v>2</v>
      </c>
      <c r="F354" s="157">
        <v>0</v>
      </c>
      <c r="G354" s="157">
        <v>0</v>
      </c>
      <c r="H354" s="157">
        <v>0</v>
      </c>
      <c r="I354" s="157">
        <v>0</v>
      </c>
      <c r="J354" s="157">
        <v>0</v>
      </c>
      <c r="K354" s="157">
        <v>0</v>
      </c>
      <c r="L354" s="157">
        <v>0</v>
      </c>
      <c r="M354" s="157">
        <v>0</v>
      </c>
      <c r="N354" s="157">
        <v>0</v>
      </c>
      <c r="O354" s="157">
        <v>0</v>
      </c>
      <c r="P354" s="157">
        <v>0</v>
      </c>
      <c r="Q354" s="157">
        <v>0</v>
      </c>
      <c r="R354" s="157">
        <v>0</v>
      </c>
      <c r="S354" s="157">
        <v>0</v>
      </c>
      <c r="T354" s="69"/>
      <c r="U354" s="157">
        <v>0</v>
      </c>
      <c r="V354" s="54"/>
    </row>
    <row r="355" spans="2:22" x14ac:dyDescent="0.2">
      <c r="B355" s="57"/>
      <c r="C355" s="18" t="s">
        <v>47</v>
      </c>
      <c r="D355" s="138"/>
      <c r="E355" s="138"/>
      <c r="F355" s="138">
        <v>29.7</v>
      </c>
      <c r="G355" s="138">
        <v>34.5</v>
      </c>
      <c r="H355" s="138">
        <v>32.5</v>
      </c>
      <c r="I355" s="138">
        <v>562.29999999999995</v>
      </c>
      <c r="J355" s="138">
        <v>1384</v>
      </c>
      <c r="K355" s="138">
        <v>70.900000000000006</v>
      </c>
      <c r="L355" s="138">
        <v>98.4</v>
      </c>
      <c r="M355" s="138">
        <v>533.70000000000005</v>
      </c>
      <c r="N355" s="138">
        <v>6.24</v>
      </c>
      <c r="O355" s="138">
        <v>3.32</v>
      </c>
      <c r="P355" s="138">
        <v>0.31</v>
      </c>
      <c r="Q355" s="138">
        <v>0.3</v>
      </c>
      <c r="R355" s="138">
        <v>6.78</v>
      </c>
      <c r="S355" s="138">
        <v>37.86</v>
      </c>
      <c r="T355" s="69"/>
      <c r="U355" s="138">
        <v>37.86</v>
      </c>
      <c r="V355" s="54"/>
    </row>
    <row r="356" spans="2:22" x14ac:dyDescent="0.2">
      <c r="B356" s="57"/>
      <c r="C356" s="19" t="s">
        <v>74</v>
      </c>
      <c r="D356" s="313" t="s">
        <v>75</v>
      </c>
      <c r="E356" s="316"/>
      <c r="F356" s="131"/>
      <c r="G356" s="131"/>
      <c r="H356" s="131"/>
      <c r="I356" s="131"/>
      <c r="J356" s="133"/>
      <c r="K356" s="131"/>
      <c r="L356" s="131"/>
      <c r="M356" s="133"/>
      <c r="N356" s="131"/>
      <c r="O356" s="131"/>
      <c r="P356" s="131"/>
      <c r="Q356" s="131"/>
      <c r="R356" s="134"/>
      <c r="S356" s="4"/>
      <c r="T356" s="168"/>
      <c r="U356" s="84"/>
      <c r="V356" s="54"/>
    </row>
    <row r="357" spans="2:22" x14ac:dyDescent="0.2">
      <c r="B357" s="69" t="s">
        <v>73</v>
      </c>
      <c r="C357" s="155" t="s">
        <v>40</v>
      </c>
      <c r="D357" s="178">
        <v>50</v>
      </c>
      <c r="E357" s="178">
        <v>50</v>
      </c>
      <c r="F357" s="157">
        <v>0.1</v>
      </c>
      <c r="G357" s="157">
        <v>0</v>
      </c>
      <c r="H357" s="157">
        <v>0</v>
      </c>
      <c r="I357" s="157">
        <v>0.8</v>
      </c>
      <c r="J357" s="158">
        <v>12.4</v>
      </c>
      <c r="K357" s="157">
        <v>2.5</v>
      </c>
      <c r="L357" s="157">
        <v>2.2000000000000002</v>
      </c>
      <c r="M357" s="158">
        <v>4.0999999999999996</v>
      </c>
      <c r="N357" s="157">
        <v>0.4</v>
      </c>
      <c r="O357" s="157">
        <v>0</v>
      </c>
      <c r="P357" s="157">
        <v>0</v>
      </c>
      <c r="Q357" s="157">
        <v>0</v>
      </c>
      <c r="R357" s="179">
        <v>0</v>
      </c>
      <c r="S357" s="144">
        <v>0</v>
      </c>
      <c r="T357" s="176">
        <v>539.16999999999996</v>
      </c>
      <c r="U357" s="157">
        <v>0.53900000000000003</v>
      </c>
      <c r="V357" s="54"/>
    </row>
    <row r="358" spans="2:22" x14ac:dyDescent="0.2">
      <c r="B358" s="144"/>
      <c r="C358" s="155" t="s">
        <v>30</v>
      </c>
      <c r="D358" s="178">
        <v>15</v>
      </c>
      <c r="E358" s="178">
        <v>15</v>
      </c>
      <c r="F358" s="157">
        <v>0</v>
      </c>
      <c r="G358" s="157">
        <v>0</v>
      </c>
      <c r="H358" s="157">
        <v>15</v>
      </c>
      <c r="I358" s="157">
        <v>56.9</v>
      </c>
      <c r="J358" s="158">
        <v>0.5</v>
      </c>
      <c r="K358" s="157">
        <v>0.4</v>
      </c>
      <c r="L358" s="157">
        <v>0</v>
      </c>
      <c r="M358" s="158">
        <v>0</v>
      </c>
      <c r="N358" s="157">
        <v>0</v>
      </c>
      <c r="O358" s="157">
        <v>0</v>
      </c>
      <c r="P358" s="157">
        <v>0</v>
      </c>
      <c r="Q358" s="157">
        <v>0</v>
      </c>
      <c r="R358" s="179">
        <v>0</v>
      </c>
      <c r="S358" s="144">
        <v>0</v>
      </c>
      <c r="T358" s="176">
        <v>50.97</v>
      </c>
      <c r="U358" s="157">
        <v>0.76500000000000001</v>
      </c>
      <c r="V358" s="54"/>
    </row>
    <row r="359" spans="2:22" x14ac:dyDescent="0.2">
      <c r="B359" s="144"/>
      <c r="C359" s="155" t="s">
        <v>35</v>
      </c>
      <c r="D359" s="178">
        <v>150</v>
      </c>
      <c r="E359" s="178">
        <v>150</v>
      </c>
      <c r="F359" s="157">
        <v>0</v>
      </c>
      <c r="G359" s="157">
        <v>0</v>
      </c>
      <c r="H359" s="157">
        <v>0</v>
      </c>
      <c r="I359" s="157">
        <v>0</v>
      </c>
      <c r="J359" s="157">
        <v>0</v>
      </c>
      <c r="K359" s="157">
        <v>0</v>
      </c>
      <c r="L359" s="157">
        <v>0</v>
      </c>
      <c r="M359" s="157">
        <v>0</v>
      </c>
      <c r="N359" s="157">
        <v>0</v>
      </c>
      <c r="O359" s="157">
        <v>0</v>
      </c>
      <c r="P359" s="157">
        <v>0</v>
      </c>
      <c r="Q359" s="157">
        <v>0</v>
      </c>
      <c r="R359" s="179">
        <v>0</v>
      </c>
      <c r="S359" s="144">
        <v>0</v>
      </c>
      <c r="T359" s="176">
        <v>0</v>
      </c>
      <c r="U359" s="157">
        <v>0</v>
      </c>
      <c r="V359" s="54"/>
    </row>
    <row r="360" spans="2:22" x14ac:dyDescent="0.2">
      <c r="B360" s="144"/>
      <c r="C360" s="163" t="s">
        <v>47</v>
      </c>
      <c r="D360" s="138"/>
      <c r="E360" s="138"/>
      <c r="F360" s="138">
        <v>0.1</v>
      </c>
      <c r="G360" s="138">
        <v>0</v>
      </c>
      <c r="H360" s="138">
        <v>15</v>
      </c>
      <c r="I360" s="138">
        <v>57.7</v>
      </c>
      <c r="J360" s="138">
        <v>12.9</v>
      </c>
      <c r="K360" s="138">
        <v>2.9</v>
      </c>
      <c r="L360" s="138">
        <v>2.2000000000000002</v>
      </c>
      <c r="M360" s="138">
        <v>4.12</v>
      </c>
      <c r="N360" s="138">
        <v>0.4</v>
      </c>
      <c r="O360" s="138">
        <v>0</v>
      </c>
      <c r="P360" s="138">
        <v>0</v>
      </c>
      <c r="Q360" s="138">
        <v>0</v>
      </c>
      <c r="R360" s="149">
        <v>0</v>
      </c>
      <c r="S360" s="57">
        <v>0</v>
      </c>
      <c r="T360" s="139"/>
      <c r="U360" s="138">
        <v>1.304</v>
      </c>
      <c r="V360" s="54"/>
    </row>
    <row r="361" spans="2:22" ht="25.5" x14ac:dyDescent="0.2">
      <c r="B361" s="144"/>
      <c r="C361" s="28" t="s">
        <v>105</v>
      </c>
      <c r="D361" s="31">
        <v>30</v>
      </c>
      <c r="E361" s="29">
        <v>30</v>
      </c>
      <c r="F361" s="29">
        <v>1.54</v>
      </c>
      <c r="G361" s="29">
        <v>0.6</v>
      </c>
      <c r="H361" s="59">
        <v>9.9600000000000009</v>
      </c>
      <c r="I361" s="29">
        <v>52.4</v>
      </c>
      <c r="J361" s="59">
        <v>25.4</v>
      </c>
      <c r="K361" s="49">
        <v>5.2</v>
      </c>
      <c r="L361" s="29">
        <v>7</v>
      </c>
      <c r="M361" s="29">
        <v>16.600000000000001</v>
      </c>
      <c r="N361" s="29">
        <v>0.32</v>
      </c>
      <c r="O361" s="29">
        <v>0</v>
      </c>
      <c r="P361" s="29">
        <v>3.2000000000000001E-2</v>
      </c>
      <c r="Q361" s="29">
        <v>1.6E-2</v>
      </c>
      <c r="R361" s="29">
        <v>0.308</v>
      </c>
      <c r="S361" s="29">
        <v>0</v>
      </c>
      <c r="T361" s="69">
        <v>29.29</v>
      </c>
      <c r="U361" s="96">
        <v>0.58584000000000003</v>
      </c>
      <c r="V361" s="54"/>
    </row>
    <row r="362" spans="2:22" x14ac:dyDescent="0.2">
      <c r="B362" s="31" t="s">
        <v>24</v>
      </c>
      <c r="C362" s="28" t="s">
        <v>106</v>
      </c>
      <c r="D362" s="31">
        <v>20</v>
      </c>
      <c r="E362" s="31">
        <v>20</v>
      </c>
      <c r="F362" s="31">
        <v>1.32</v>
      </c>
      <c r="G362" s="31">
        <v>0.24</v>
      </c>
      <c r="H362" s="33">
        <v>6.84</v>
      </c>
      <c r="I362" s="31">
        <v>36.200000000000003</v>
      </c>
      <c r="J362" s="60">
        <v>18.8</v>
      </c>
      <c r="K362" s="60">
        <v>6.8</v>
      </c>
      <c r="L362" s="31">
        <v>8.1999999999999993</v>
      </c>
      <c r="M362" s="31">
        <v>24</v>
      </c>
      <c r="N362" s="31">
        <v>0.46</v>
      </c>
      <c r="O362" s="31">
        <v>0</v>
      </c>
      <c r="P362" s="31">
        <v>2.1999999999999999E-2</v>
      </c>
      <c r="Q362" s="31">
        <v>1.6E-2</v>
      </c>
      <c r="R362" s="31">
        <v>0.128</v>
      </c>
      <c r="S362" s="31">
        <v>0</v>
      </c>
      <c r="T362" s="69">
        <v>35.9</v>
      </c>
      <c r="U362" s="96">
        <v>0.71799999999999997</v>
      </c>
      <c r="V362" s="54"/>
    </row>
    <row r="363" spans="2:22" x14ac:dyDescent="0.2">
      <c r="B363" s="31" t="s">
        <v>24</v>
      </c>
      <c r="C363" s="28" t="s">
        <v>25</v>
      </c>
      <c r="D363" s="31"/>
      <c r="E363" s="31"/>
      <c r="F363" s="31">
        <v>33.542149999999999</v>
      </c>
      <c r="G363" s="31">
        <v>30.952400000000001</v>
      </c>
      <c r="H363" s="31">
        <v>90.170900000000003</v>
      </c>
      <c r="I363" s="31">
        <v>790.57799999999997</v>
      </c>
      <c r="J363" s="31">
        <v>654.61</v>
      </c>
      <c r="K363" s="31">
        <v>58.325000000000003</v>
      </c>
      <c r="L363" s="31">
        <v>63.677999999999997</v>
      </c>
      <c r="M363" s="31">
        <v>251.84049999999999</v>
      </c>
      <c r="N363" s="31">
        <v>7.0629499999999998</v>
      </c>
      <c r="O363" s="31">
        <v>9.0690000000000007E-2</v>
      </c>
      <c r="P363" s="31">
        <v>0.44761499999999999</v>
      </c>
      <c r="Q363" s="31">
        <v>0.30335000000000001</v>
      </c>
      <c r="R363" s="31">
        <v>9.1470500000000001</v>
      </c>
      <c r="S363" s="31">
        <v>30.981999999999999</v>
      </c>
      <c r="T363" s="69"/>
      <c r="U363" s="32">
        <v>30.035110499999998</v>
      </c>
      <c r="V363" s="54"/>
    </row>
    <row r="364" spans="2:22" x14ac:dyDescent="0.2">
      <c r="B364" s="31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153"/>
      <c r="V364" s="54"/>
    </row>
    <row r="365" spans="2:22" x14ac:dyDescent="0.2">
      <c r="B365" s="169"/>
      <c r="C365" s="25" t="s">
        <v>65</v>
      </c>
      <c r="D365" s="21"/>
      <c r="E365" s="21"/>
      <c r="F365" s="68">
        <v>302.10000000000002</v>
      </c>
      <c r="G365" s="68">
        <v>309.2</v>
      </c>
      <c r="H365" s="68">
        <v>965.3</v>
      </c>
      <c r="I365" s="68">
        <v>7547.1</v>
      </c>
      <c r="J365" s="68">
        <v>9794.9</v>
      </c>
      <c r="K365" s="68">
        <v>927.2</v>
      </c>
      <c r="L365" s="68">
        <v>1078.8</v>
      </c>
      <c r="M365" s="68">
        <v>3154.9</v>
      </c>
      <c r="N365" s="68">
        <v>70.900000000000006</v>
      </c>
      <c r="O365" s="68">
        <v>15.6</v>
      </c>
      <c r="P365" s="68">
        <v>16.3</v>
      </c>
      <c r="Q365" s="68">
        <v>15.1</v>
      </c>
      <c r="R365" s="68">
        <v>78.099999999999994</v>
      </c>
      <c r="S365" s="146">
        <v>275</v>
      </c>
      <c r="T365" s="147"/>
      <c r="U365" s="68">
        <v>340.18</v>
      </c>
      <c r="V365" s="54"/>
    </row>
    <row r="366" spans="2:22" x14ac:dyDescent="0.2">
      <c r="B366" s="69"/>
      <c r="C366" s="148" t="s">
        <v>66</v>
      </c>
      <c r="D366" s="138"/>
      <c r="E366" s="138"/>
      <c r="F366" s="138">
        <v>30.207999999999998</v>
      </c>
      <c r="G366" s="138">
        <v>30.917000000000002</v>
      </c>
      <c r="H366" s="138">
        <v>96.534000000000006</v>
      </c>
      <c r="I366" s="138">
        <v>754.71</v>
      </c>
      <c r="J366" s="138">
        <v>979.48620000000005</v>
      </c>
      <c r="K366" s="138">
        <v>92.719399999999993</v>
      </c>
      <c r="L366" s="138">
        <v>107.88</v>
      </c>
      <c r="M366" s="138">
        <v>315.49</v>
      </c>
      <c r="N366" s="138">
        <v>7.085</v>
      </c>
      <c r="O366" s="138">
        <v>1.56</v>
      </c>
      <c r="P366" s="138">
        <v>1.6339999999999999</v>
      </c>
      <c r="Q366" s="138">
        <v>1.5129999999999999</v>
      </c>
      <c r="R366" s="149">
        <v>7.81</v>
      </c>
      <c r="S366" s="150">
        <v>27.5</v>
      </c>
      <c r="T366" s="151"/>
      <c r="U366" s="152">
        <v>34</v>
      </c>
      <c r="V366" s="54"/>
    </row>
    <row r="367" spans="2:22" x14ac:dyDescent="0.2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70"/>
      <c r="S367" s="69"/>
      <c r="T367" s="69"/>
      <c r="U367" s="96"/>
      <c r="V367" s="54"/>
    </row>
    <row r="368" spans="2:22" x14ac:dyDescent="0.2">
      <c r="B368" s="69"/>
      <c r="R368" s="54"/>
      <c r="S368" s="54"/>
      <c r="T368" s="54"/>
      <c r="U368" s="97"/>
      <c r="V368" s="54"/>
    </row>
    <row r="369" spans="18:22" x14ac:dyDescent="0.2">
      <c r="R369" s="54"/>
      <c r="S369" s="54"/>
      <c r="T369" s="54"/>
      <c r="U369" s="97"/>
      <c r="V369" s="54"/>
    </row>
    <row r="370" spans="18:22" x14ac:dyDescent="0.2">
      <c r="R370" s="54"/>
      <c r="S370" s="54"/>
      <c r="T370" s="54"/>
      <c r="U370" s="97"/>
      <c r="V370" s="54"/>
    </row>
    <row r="371" spans="18:22" x14ac:dyDescent="0.2">
      <c r="R371" s="54"/>
      <c r="S371" s="54"/>
      <c r="T371" s="54"/>
      <c r="U371" s="97"/>
      <c r="V371" s="54"/>
    </row>
    <row r="372" spans="18:22" x14ac:dyDescent="0.2">
      <c r="R372" s="54"/>
      <c r="S372" s="54"/>
      <c r="T372" s="54"/>
      <c r="U372" s="97"/>
      <c r="V372" s="54"/>
    </row>
    <row r="373" spans="18:22" x14ac:dyDescent="0.2">
      <c r="R373" s="54"/>
      <c r="S373" s="54"/>
      <c r="T373" s="54"/>
      <c r="U373" s="97"/>
      <c r="V373" s="54"/>
    </row>
    <row r="374" spans="18:22" x14ac:dyDescent="0.2">
      <c r="R374" s="54"/>
      <c r="S374" s="54"/>
      <c r="T374" s="54"/>
      <c r="U374" s="97"/>
      <c r="V374" s="54"/>
    </row>
    <row r="375" spans="18:22" x14ac:dyDescent="0.2">
      <c r="R375" s="54"/>
      <c r="S375" s="54"/>
      <c r="T375" s="54"/>
      <c r="U375" s="97"/>
      <c r="V375" s="54"/>
    </row>
    <row r="376" spans="18:22" x14ac:dyDescent="0.2">
      <c r="R376" s="54"/>
      <c r="S376" s="54"/>
      <c r="T376" s="54"/>
      <c r="U376" s="97"/>
      <c r="V376" s="77"/>
    </row>
    <row r="377" spans="18:22" x14ac:dyDescent="0.2">
      <c r="R377" s="54"/>
      <c r="S377" s="54"/>
      <c r="T377" s="54"/>
      <c r="U377" s="97"/>
      <c r="V377" s="54"/>
    </row>
    <row r="378" spans="18:22" x14ac:dyDescent="0.2">
      <c r="R378" s="54"/>
      <c r="S378" s="54"/>
      <c r="T378" s="54"/>
      <c r="U378" s="97"/>
      <c r="V378" s="54"/>
    </row>
    <row r="379" spans="18:22" x14ac:dyDescent="0.2">
      <c r="R379" s="54"/>
      <c r="S379" s="54"/>
      <c r="T379" s="54"/>
      <c r="U379" s="97"/>
      <c r="V379" s="54"/>
    </row>
    <row r="380" spans="18:22" x14ac:dyDescent="0.2">
      <c r="R380" s="54"/>
      <c r="S380" s="54"/>
      <c r="T380" s="54"/>
      <c r="U380" s="97"/>
      <c r="V380" s="54"/>
    </row>
    <row r="381" spans="18:22" x14ac:dyDescent="0.2">
      <c r="R381" s="54"/>
      <c r="S381" s="54"/>
      <c r="T381" s="54"/>
      <c r="U381" s="97"/>
      <c r="V381" s="54"/>
    </row>
    <row r="382" spans="18:22" x14ac:dyDescent="0.2">
      <c r="R382" s="54"/>
      <c r="S382" s="54"/>
      <c r="T382" s="54"/>
      <c r="U382" s="97"/>
      <c r="V382" s="54"/>
    </row>
    <row r="383" spans="18:22" x14ac:dyDescent="0.2">
      <c r="R383" s="54"/>
      <c r="S383" s="54"/>
      <c r="T383" s="54"/>
      <c r="U383" s="97"/>
      <c r="V383" s="54"/>
    </row>
    <row r="384" spans="18:22" x14ac:dyDescent="0.2">
      <c r="R384" s="54"/>
      <c r="S384" s="54"/>
      <c r="T384" s="54"/>
      <c r="U384" s="97"/>
      <c r="V384" s="54"/>
    </row>
    <row r="385" spans="2:22" x14ac:dyDescent="0.2">
      <c r="R385" s="54"/>
      <c r="S385" s="54"/>
      <c r="T385" s="54"/>
      <c r="U385" s="97"/>
      <c r="V385" s="54"/>
    </row>
    <row r="386" spans="2:22" x14ac:dyDescent="0.2">
      <c r="R386" s="54"/>
      <c r="S386" s="54"/>
      <c r="T386" s="54"/>
      <c r="U386" s="97"/>
      <c r="V386" s="54"/>
    </row>
    <row r="387" spans="2:22" x14ac:dyDescent="0.2">
      <c r="R387" s="54"/>
      <c r="S387" s="54"/>
      <c r="T387" s="54"/>
      <c r="U387" s="97"/>
      <c r="V387" s="54"/>
    </row>
    <row r="388" spans="2:22" x14ac:dyDescent="0.2"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97"/>
      <c r="V388" s="54"/>
    </row>
    <row r="389" spans="2:22" x14ac:dyDescent="0.2">
      <c r="B389" s="127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97"/>
      <c r="V389" s="77"/>
    </row>
    <row r="390" spans="2:22" x14ac:dyDescent="0.2">
      <c r="B390" s="127"/>
      <c r="C390" s="99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77"/>
      <c r="U390" s="101"/>
      <c r="V390" s="54"/>
    </row>
    <row r="391" spans="2:22" x14ac:dyDescent="0.2">
      <c r="B391" s="127"/>
      <c r="C391" s="99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77"/>
      <c r="U391" s="101"/>
      <c r="V391" s="54"/>
    </row>
    <row r="392" spans="2:22" x14ac:dyDescent="0.2">
      <c r="B392" s="127"/>
      <c r="C392" s="99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77"/>
      <c r="U392" s="101"/>
      <c r="V392" s="54"/>
    </row>
    <row r="393" spans="2:22" x14ac:dyDescent="0.2">
      <c r="B393" s="127"/>
      <c r="C393" s="102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101"/>
      <c r="V393" s="54"/>
    </row>
    <row r="394" spans="2:22" x14ac:dyDescent="0.2">
      <c r="B394" s="127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97"/>
      <c r="V394" s="54"/>
    </row>
    <row r="395" spans="2:22" x14ac:dyDescent="0.2">
      <c r="B395" s="127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97"/>
      <c r="V395" s="54"/>
    </row>
    <row r="396" spans="2:22" x14ac:dyDescent="0.2">
      <c r="B396" s="127"/>
      <c r="C396" s="103"/>
      <c r="D396" s="54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104"/>
      <c r="U396" s="97"/>
      <c r="V396" s="54"/>
    </row>
    <row r="397" spans="2:22" x14ac:dyDescent="0.2">
      <c r="B397" s="127"/>
      <c r="C397" s="105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104"/>
      <c r="U397" s="97"/>
      <c r="V397" s="77"/>
    </row>
    <row r="398" spans="2:22" x14ac:dyDescent="0.2">
      <c r="B398" s="127"/>
      <c r="C398" s="105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104"/>
      <c r="U398" s="97"/>
      <c r="V398" s="77"/>
    </row>
    <row r="399" spans="2:22" x14ac:dyDescent="0.2">
      <c r="B399" s="127"/>
      <c r="C399" s="105"/>
      <c r="D399" s="54"/>
      <c r="E399" s="54"/>
      <c r="F399" s="54"/>
      <c r="G399" s="54"/>
      <c r="H399" s="54"/>
      <c r="I399" s="54"/>
      <c r="J399" s="106"/>
      <c r="K399" s="100"/>
      <c r="L399" s="100"/>
      <c r="M399" s="107"/>
      <c r="N399" s="100"/>
      <c r="O399" s="100"/>
      <c r="P399" s="100"/>
      <c r="Q399" s="100"/>
      <c r="R399" s="100"/>
      <c r="S399" s="100"/>
      <c r="T399" s="104"/>
      <c r="U399" s="97"/>
      <c r="V399" s="54"/>
    </row>
    <row r="400" spans="2:22" x14ac:dyDescent="0.2">
      <c r="B400" s="127"/>
      <c r="C400" s="105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104"/>
      <c r="U400" s="97"/>
      <c r="V400" s="54"/>
    </row>
    <row r="401" spans="2:22" x14ac:dyDescent="0.2">
      <c r="B401" s="127"/>
      <c r="C401" s="105"/>
      <c r="D401" s="54"/>
      <c r="E401" s="54"/>
      <c r="F401" s="54"/>
      <c r="G401" s="54"/>
      <c r="H401" s="54"/>
      <c r="I401" s="54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4"/>
      <c r="U401" s="97"/>
      <c r="V401" s="54"/>
    </row>
    <row r="402" spans="2:22" x14ac:dyDescent="0.2">
      <c r="B402" s="127"/>
      <c r="C402" s="105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104"/>
      <c r="U402" s="97"/>
      <c r="V402" s="77"/>
    </row>
    <row r="403" spans="2:22" x14ac:dyDescent="0.2">
      <c r="B403" s="127"/>
      <c r="C403" s="105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104"/>
      <c r="U403" s="97"/>
      <c r="V403" s="77"/>
    </row>
    <row r="404" spans="2:22" x14ac:dyDescent="0.2">
      <c r="B404" s="127"/>
      <c r="C404" s="105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104"/>
      <c r="U404" s="97"/>
      <c r="V404" s="54"/>
    </row>
    <row r="405" spans="2:22" x14ac:dyDescent="0.2">
      <c r="B405" s="127"/>
      <c r="C405" s="105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104"/>
      <c r="U405" s="97"/>
      <c r="V405" s="54"/>
    </row>
    <row r="406" spans="2:22" x14ac:dyDescent="0.2">
      <c r="B406" s="127"/>
      <c r="C406" s="102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101"/>
      <c r="V406" s="54"/>
    </row>
    <row r="407" spans="2:22" x14ac:dyDescent="0.2">
      <c r="B407" s="127"/>
      <c r="C407" s="102"/>
      <c r="D407" s="100"/>
      <c r="E407" s="77"/>
      <c r="F407" s="77"/>
      <c r="G407" s="77"/>
      <c r="H407" s="108"/>
      <c r="I407" s="77"/>
      <c r="J407" s="109"/>
      <c r="K407" s="108"/>
      <c r="L407" s="77"/>
      <c r="M407" s="77"/>
      <c r="N407" s="77"/>
      <c r="O407" s="77"/>
      <c r="P407" s="77"/>
      <c r="Q407" s="77"/>
      <c r="R407" s="77"/>
      <c r="S407" s="77"/>
      <c r="T407" s="104"/>
      <c r="U407" s="97"/>
      <c r="V407" s="54"/>
    </row>
    <row r="408" spans="2:22" x14ac:dyDescent="0.2">
      <c r="B408" s="127"/>
      <c r="C408" s="99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4"/>
      <c r="U408" s="97"/>
      <c r="V408" s="54"/>
    </row>
    <row r="409" spans="2:22" x14ac:dyDescent="0.2">
      <c r="B409" s="127"/>
      <c r="C409" s="99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77"/>
      <c r="U409" s="101"/>
      <c r="V409" s="54"/>
    </row>
    <row r="410" spans="2:22" x14ac:dyDescent="0.2">
      <c r="B410" s="127"/>
      <c r="C410" s="99"/>
      <c r="D410" s="100"/>
      <c r="E410" s="100"/>
      <c r="F410" s="110"/>
      <c r="G410" s="110"/>
      <c r="H410" s="110"/>
      <c r="I410" s="110"/>
      <c r="J410" s="111"/>
      <c r="K410" s="110"/>
      <c r="L410" s="110"/>
      <c r="M410" s="110"/>
      <c r="N410" s="110"/>
      <c r="O410" s="110"/>
      <c r="P410" s="110"/>
      <c r="Q410" s="110"/>
      <c r="R410" s="110"/>
      <c r="S410" s="110"/>
      <c r="T410" s="77"/>
      <c r="U410" s="101"/>
      <c r="V410" s="77"/>
    </row>
    <row r="411" spans="2:22" x14ac:dyDescent="0.2">
      <c r="B411" s="127"/>
      <c r="C411" s="99"/>
      <c r="D411" s="100"/>
      <c r="E411" s="100"/>
      <c r="F411" s="100"/>
      <c r="G411" s="100"/>
      <c r="H411" s="100"/>
      <c r="I411" s="100"/>
      <c r="J411" s="106"/>
      <c r="K411" s="100"/>
      <c r="L411" s="100"/>
      <c r="M411" s="112"/>
      <c r="N411" s="100"/>
      <c r="O411" s="100"/>
      <c r="P411" s="100"/>
      <c r="Q411" s="100"/>
      <c r="R411" s="100"/>
      <c r="S411" s="100"/>
      <c r="T411" s="100"/>
      <c r="U411" s="101"/>
      <c r="V411" s="54"/>
    </row>
    <row r="412" spans="2:22" x14ac:dyDescent="0.2">
      <c r="B412" s="127"/>
      <c r="C412" s="99"/>
      <c r="D412" s="100"/>
      <c r="E412" s="10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00"/>
      <c r="U412" s="101"/>
      <c r="V412" s="54"/>
    </row>
    <row r="413" spans="2:22" x14ac:dyDescent="0.2">
      <c r="B413" s="127"/>
      <c r="C413" s="99"/>
      <c r="D413" s="100"/>
      <c r="E413" s="100"/>
      <c r="F413" s="100"/>
      <c r="G413" s="100"/>
      <c r="H413" s="107"/>
      <c r="I413" s="100"/>
      <c r="J413" s="106"/>
      <c r="K413" s="107"/>
      <c r="L413" s="100"/>
      <c r="M413" s="100"/>
      <c r="N413" s="100"/>
      <c r="O413" s="100"/>
      <c r="P413" s="100"/>
      <c r="Q413" s="100"/>
      <c r="R413" s="100"/>
      <c r="S413" s="100"/>
      <c r="T413" s="100"/>
      <c r="U413" s="101"/>
      <c r="V413" s="54"/>
    </row>
    <row r="414" spans="2:22" x14ac:dyDescent="0.2">
      <c r="B414" s="127"/>
      <c r="C414" s="102"/>
      <c r="D414" s="113"/>
      <c r="E414" s="113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101"/>
      <c r="V414" s="54"/>
    </row>
    <row r="415" spans="2:22" x14ac:dyDescent="0.2">
      <c r="B415" s="127"/>
      <c r="C415" s="102"/>
      <c r="D415" s="100"/>
      <c r="E415" s="77"/>
      <c r="F415" s="77"/>
      <c r="G415" s="77"/>
      <c r="H415" s="77"/>
      <c r="I415" s="77"/>
      <c r="J415" s="108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101"/>
      <c r="V415" s="77"/>
    </row>
    <row r="416" spans="2:22" x14ac:dyDescent="0.2">
      <c r="B416" s="127"/>
      <c r="C416" s="99"/>
      <c r="D416" s="100"/>
      <c r="E416" s="100"/>
      <c r="F416" s="100"/>
      <c r="G416" s="100"/>
      <c r="H416" s="100"/>
      <c r="I416" s="100"/>
      <c r="J416" s="107"/>
      <c r="K416" s="100"/>
      <c r="L416" s="100"/>
      <c r="M416" s="100"/>
      <c r="N416" s="100"/>
      <c r="O416" s="100"/>
      <c r="P416" s="100"/>
      <c r="Q416" s="100"/>
      <c r="R416" s="100"/>
      <c r="S416" s="100"/>
      <c r="T416" s="77"/>
      <c r="U416" s="101"/>
      <c r="V416" s="54"/>
    </row>
    <row r="417" spans="2:22" x14ac:dyDescent="0.2">
      <c r="B417" s="127"/>
      <c r="C417" s="99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77"/>
      <c r="U417" s="101"/>
    </row>
    <row r="418" spans="2:22" x14ac:dyDescent="0.2">
      <c r="B418" s="127"/>
      <c r="C418" s="99"/>
      <c r="D418" s="100"/>
      <c r="E418" s="100"/>
      <c r="F418" s="100"/>
      <c r="G418" s="100"/>
      <c r="H418" s="100"/>
      <c r="I418" s="100"/>
      <c r="J418" s="114"/>
      <c r="K418" s="100"/>
      <c r="L418" s="100"/>
      <c r="M418" s="100"/>
      <c r="N418" s="100"/>
      <c r="O418" s="100"/>
      <c r="P418" s="100"/>
      <c r="Q418" s="100"/>
      <c r="R418" s="100"/>
      <c r="S418" s="100"/>
      <c r="T418" s="77"/>
      <c r="U418" s="101"/>
    </row>
    <row r="419" spans="2:22" x14ac:dyDescent="0.2">
      <c r="B419" s="127"/>
      <c r="C419" s="102"/>
      <c r="D419" s="113"/>
      <c r="E419" s="113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101"/>
    </row>
    <row r="420" spans="2:22" x14ac:dyDescent="0.2">
      <c r="B420" s="127"/>
      <c r="C420" s="102"/>
      <c r="D420" s="77"/>
      <c r="E420" s="77"/>
      <c r="F420" s="77"/>
      <c r="G420" s="77"/>
      <c r="H420" s="77"/>
      <c r="I420" s="77"/>
      <c r="J420" s="77"/>
      <c r="K420" s="77"/>
      <c r="L420" s="77"/>
      <c r="M420" s="108"/>
      <c r="N420" s="77"/>
      <c r="O420" s="77"/>
      <c r="P420" s="77"/>
      <c r="Q420" s="77"/>
      <c r="R420" s="77"/>
      <c r="S420" s="77"/>
      <c r="T420" s="77"/>
      <c r="U420" s="101"/>
    </row>
    <row r="421" spans="2:22" ht="15.75" x14ac:dyDescent="0.2">
      <c r="B421" s="127"/>
      <c r="C421" s="115"/>
      <c r="D421" s="115"/>
      <c r="E421" s="116"/>
      <c r="F421" s="117"/>
      <c r="G421" s="117"/>
      <c r="H421" s="117"/>
      <c r="I421" s="117"/>
      <c r="J421" s="118"/>
      <c r="K421" s="117"/>
      <c r="L421" s="117"/>
      <c r="M421" s="117"/>
      <c r="N421" s="117"/>
      <c r="O421" s="117"/>
      <c r="P421" s="117"/>
      <c r="Q421" s="117"/>
      <c r="R421" s="117"/>
      <c r="S421" s="117"/>
      <c r="T421" s="77"/>
      <c r="U421" s="101"/>
    </row>
    <row r="422" spans="2:22" ht="15.75" x14ac:dyDescent="0.2">
      <c r="B422" s="127"/>
      <c r="C422" s="119"/>
      <c r="D422" s="116"/>
      <c r="E422" s="116"/>
      <c r="F422" s="100"/>
      <c r="G422" s="100"/>
      <c r="H422" s="100"/>
      <c r="I422" s="100"/>
      <c r="J422" s="107"/>
      <c r="K422" s="100"/>
      <c r="L422" s="100"/>
      <c r="M422" s="107"/>
      <c r="N422" s="100"/>
      <c r="O422" s="100"/>
      <c r="P422" s="100"/>
      <c r="Q422" s="100"/>
      <c r="R422" s="100"/>
      <c r="S422" s="100"/>
      <c r="T422" s="77"/>
      <c r="U422" s="101"/>
    </row>
    <row r="423" spans="2:22" ht="15.75" x14ac:dyDescent="0.2">
      <c r="B423" s="127"/>
      <c r="C423" s="119"/>
      <c r="D423" s="116"/>
      <c r="E423" s="116"/>
      <c r="F423" s="117"/>
      <c r="G423" s="117"/>
      <c r="H423" s="117"/>
      <c r="I423" s="117"/>
      <c r="J423" s="118"/>
      <c r="K423" s="117"/>
      <c r="L423" s="117"/>
      <c r="M423" s="117"/>
      <c r="N423" s="117"/>
      <c r="O423" s="117"/>
      <c r="P423" s="117"/>
      <c r="Q423" s="117"/>
      <c r="R423" s="117"/>
      <c r="S423" s="117"/>
      <c r="T423" s="77"/>
      <c r="U423" s="101"/>
    </row>
    <row r="424" spans="2:22" ht="15.75" x14ac:dyDescent="0.2">
      <c r="B424" s="127"/>
      <c r="C424" s="119"/>
      <c r="D424" s="116"/>
      <c r="E424" s="116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77"/>
      <c r="U424" s="101"/>
    </row>
    <row r="425" spans="2:22" ht="15.75" x14ac:dyDescent="0.2">
      <c r="B425" s="127"/>
      <c r="C425" s="119"/>
      <c r="D425" s="116"/>
      <c r="E425" s="116"/>
      <c r="F425" s="100"/>
      <c r="G425" s="100"/>
      <c r="H425" s="100"/>
      <c r="I425" s="100"/>
      <c r="J425" s="107"/>
      <c r="K425" s="100"/>
      <c r="L425" s="100"/>
      <c r="M425" s="107"/>
      <c r="N425" s="100"/>
      <c r="O425" s="100"/>
      <c r="P425" s="100"/>
      <c r="Q425" s="100"/>
      <c r="R425" s="100"/>
      <c r="S425" s="100"/>
      <c r="T425" s="77"/>
      <c r="U425" s="101"/>
    </row>
    <row r="426" spans="2:22" ht="15.75" x14ac:dyDescent="0.2">
      <c r="B426" s="127"/>
      <c r="C426" s="119"/>
      <c r="D426" s="116"/>
      <c r="E426" s="116"/>
      <c r="F426" s="100"/>
      <c r="G426" s="100"/>
      <c r="H426" s="100"/>
      <c r="I426" s="100"/>
      <c r="J426" s="106"/>
      <c r="K426" s="100"/>
      <c r="L426" s="100"/>
      <c r="M426" s="112"/>
      <c r="N426" s="100"/>
      <c r="O426" s="100"/>
      <c r="P426" s="100"/>
      <c r="Q426" s="100"/>
      <c r="R426" s="100"/>
      <c r="S426" s="100"/>
      <c r="T426" s="77"/>
      <c r="U426" s="101"/>
    </row>
    <row r="427" spans="2:22" ht="15.75" x14ac:dyDescent="0.2">
      <c r="B427" s="127"/>
      <c r="C427" s="120"/>
      <c r="D427" s="121"/>
      <c r="E427" s="121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101"/>
      <c r="V427" s="52"/>
    </row>
    <row r="428" spans="2:22" x14ac:dyDescent="0.2">
      <c r="B428" s="127"/>
      <c r="C428" s="102"/>
      <c r="D428" s="315"/>
      <c r="E428" s="315"/>
      <c r="F428" s="77"/>
      <c r="G428" s="77"/>
      <c r="H428" s="77"/>
      <c r="I428" s="77"/>
      <c r="J428" s="108"/>
      <c r="K428" s="77"/>
      <c r="L428" s="77"/>
      <c r="M428" s="108"/>
      <c r="N428" s="77"/>
      <c r="O428" s="77"/>
      <c r="P428" s="77"/>
      <c r="Q428" s="77"/>
      <c r="R428" s="77"/>
      <c r="S428" s="77"/>
      <c r="T428" s="54"/>
      <c r="U428" s="97"/>
      <c r="V428" s="52"/>
    </row>
    <row r="429" spans="2:22" x14ac:dyDescent="0.2">
      <c r="B429" s="127"/>
      <c r="C429" s="99"/>
      <c r="D429" s="122"/>
      <c r="E429" s="122"/>
      <c r="F429" s="100"/>
      <c r="G429" s="100"/>
      <c r="H429" s="100"/>
      <c r="I429" s="100"/>
      <c r="J429" s="107"/>
      <c r="K429" s="100"/>
      <c r="L429" s="100"/>
      <c r="M429" s="107"/>
      <c r="N429" s="100"/>
      <c r="O429" s="100"/>
      <c r="P429" s="100"/>
      <c r="Q429" s="100"/>
      <c r="R429" s="100"/>
      <c r="S429" s="100"/>
      <c r="T429" s="100"/>
      <c r="U429" s="97"/>
      <c r="V429" s="52"/>
    </row>
    <row r="430" spans="2:22" x14ac:dyDescent="0.2">
      <c r="B430" s="127"/>
      <c r="C430" s="99"/>
      <c r="D430" s="122"/>
      <c r="E430" s="122"/>
      <c r="F430" s="100"/>
      <c r="G430" s="100"/>
      <c r="H430" s="100"/>
      <c r="I430" s="100"/>
      <c r="J430" s="107"/>
      <c r="K430" s="100"/>
      <c r="L430" s="100"/>
      <c r="M430" s="107"/>
      <c r="N430" s="100"/>
      <c r="O430" s="100"/>
      <c r="P430" s="100"/>
      <c r="Q430" s="100"/>
      <c r="R430" s="100"/>
      <c r="S430" s="100"/>
      <c r="T430" s="100"/>
      <c r="U430" s="97"/>
      <c r="V430" s="52"/>
    </row>
    <row r="431" spans="2:22" x14ac:dyDescent="0.2">
      <c r="B431" s="127"/>
      <c r="C431" s="99"/>
      <c r="D431" s="122"/>
      <c r="E431" s="122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1"/>
      <c r="V431" s="52"/>
    </row>
    <row r="432" spans="2:22" x14ac:dyDescent="0.2">
      <c r="B432" s="127"/>
      <c r="C432" s="102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101"/>
      <c r="V432" s="52"/>
    </row>
    <row r="433" spans="2:22" x14ac:dyDescent="0.2">
      <c r="B433" s="127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97"/>
      <c r="V433" s="52"/>
    </row>
    <row r="434" spans="2:22" x14ac:dyDescent="0.2">
      <c r="B434" s="127"/>
      <c r="S434" s="80"/>
      <c r="T434" s="80"/>
      <c r="U434" s="98"/>
      <c r="V434" s="52"/>
    </row>
    <row r="435" spans="2:22" x14ac:dyDescent="0.2">
      <c r="V435" s="52"/>
    </row>
    <row r="436" spans="2:22" x14ac:dyDescent="0.2">
      <c r="V436" s="52"/>
    </row>
    <row r="438" spans="2:22" x14ac:dyDescent="0.2">
      <c r="V438" s="52"/>
    </row>
    <row r="439" spans="2:22" x14ac:dyDescent="0.2">
      <c r="V439" s="52"/>
    </row>
    <row r="440" spans="2:22" x14ac:dyDescent="0.2">
      <c r="V440" s="52"/>
    </row>
    <row r="441" spans="2:22" x14ac:dyDescent="0.2">
      <c r="V441" s="52"/>
    </row>
    <row r="442" spans="2:22" x14ac:dyDescent="0.2">
      <c r="V442" s="52"/>
    </row>
    <row r="443" spans="2:22" x14ac:dyDescent="0.2">
      <c r="V443" s="52"/>
    </row>
    <row r="444" spans="2:22" x14ac:dyDescent="0.2">
      <c r="C444" s="40"/>
      <c r="D444" s="312"/>
      <c r="E444" s="312"/>
      <c r="F444" s="4"/>
      <c r="G444" s="4"/>
      <c r="H444" s="4"/>
      <c r="I444" s="4"/>
      <c r="J444" s="10"/>
      <c r="K444" s="4"/>
      <c r="L444" s="4"/>
      <c r="M444" s="10"/>
      <c r="N444" s="4"/>
      <c r="O444" s="4"/>
      <c r="P444" s="4"/>
      <c r="Q444" s="4"/>
      <c r="R444" s="4"/>
      <c r="S444" s="4"/>
      <c r="T444" s="3"/>
      <c r="U444" s="32"/>
      <c r="V444" s="52"/>
    </row>
    <row r="445" spans="2:22" x14ac:dyDescent="0.2">
      <c r="B445" s="123"/>
      <c r="C445" s="61"/>
      <c r="D445" s="35"/>
      <c r="E445" s="35"/>
      <c r="F445" s="8"/>
      <c r="G445" s="8"/>
      <c r="H445" s="8"/>
      <c r="I445" s="8"/>
      <c r="J445" s="46"/>
      <c r="K445" s="8"/>
      <c r="L445" s="8"/>
      <c r="M445" s="9"/>
      <c r="N445" s="8"/>
      <c r="O445" s="8"/>
      <c r="P445" s="8"/>
      <c r="Q445" s="8"/>
      <c r="R445" s="8"/>
      <c r="S445" s="8"/>
      <c r="T445" s="14"/>
      <c r="U445" s="32"/>
      <c r="V445" s="52"/>
    </row>
    <row r="446" spans="2:22" x14ac:dyDescent="0.2">
      <c r="B446" s="123"/>
      <c r="C446" s="62"/>
      <c r="D446" s="35"/>
      <c r="E446" s="35"/>
      <c r="F446" s="8"/>
      <c r="G446" s="8"/>
      <c r="H446" s="8"/>
      <c r="I446" s="8"/>
      <c r="J446" s="46"/>
      <c r="K446" s="8"/>
      <c r="L446" s="8"/>
      <c r="M446" s="9"/>
      <c r="N446" s="8"/>
      <c r="O446" s="8"/>
      <c r="P446" s="8"/>
      <c r="Q446" s="8"/>
      <c r="R446" s="8"/>
      <c r="S446" s="8"/>
      <c r="T446" s="14"/>
      <c r="U446" s="32"/>
      <c r="V446" s="52"/>
    </row>
    <row r="447" spans="2:22" x14ac:dyDescent="0.2">
      <c r="B447" s="123"/>
      <c r="C447" s="61"/>
      <c r="D447" s="35"/>
      <c r="E447" s="35"/>
      <c r="F447" s="8"/>
      <c r="G447" s="8"/>
      <c r="H447" s="8"/>
      <c r="I447" s="8"/>
      <c r="J447" s="46"/>
      <c r="K447" s="8"/>
      <c r="L447" s="8"/>
      <c r="M447" s="9"/>
      <c r="N447" s="8"/>
      <c r="O447" s="8"/>
      <c r="P447" s="8"/>
      <c r="Q447" s="8"/>
      <c r="R447" s="8"/>
      <c r="S447" s="8"/>
      <c r="T447" s="14"/>
      <c r="U447" s="32"/>
      <c r="V447" s="52"/>
    </row>
    <row r="448" spans="2:22" x14ac:dyDescent="0.2">
      <c r="B448" s="123"/>
      <c r="C448" s="61"/>
      <c r="D448" s="35"/>
      <c r="E448" s="35"/>
      <c r="F448" s="8"/>
      <c r="G448" s="8"/>
      <c r="H448" s="8"/>
      <c r="I448" s="8"/>
      <c r="J448" s="46"/>
      <c r="K448" s="8"/>
      <c r="L448" s="8"/>
      <c r="M448" s="9"/>
      <c r="N448" s="8"/>
      <c r="O448" s="8"/>
      <c r="P448" s="8"/>
      <c r="Q448" s="8"/>
      <c r="R448" s="8"/>
      <c r="S448" s="8"/>
      <c r="T448" s="14"/>
      <c r="U448" s="32"/>
      <c r="V448" s="52"/>
    </row>
    <row r="449" spans="2:22" x14ac:dyDescent="0.2">
      <c r="B449" s="123"/>
      <c r="C449" s="61"/>
      <c r="D449" s="35"/>
      <c r="E449" s="35"/>
      <c r="F449" s="8"/>
      <c r="G449" s="8"/>
      <c r="H449" s="8"/>
      <c r="I449" s="8"/>
      <c r="J449" s="46"/>
      <c r="K449" s="8"/>
      <c r="L449" s="8"/>
      <c r="M449" s="9"/>
      <c r="N449" s="8"/>
      <c r="O449" s="8"/>
      <c r="P449" s="8"/>
      <c r="Q449" s="8"/>
      <c r="R449" s="8"/>
      <c r="S449" s="8"/>
      <c r="T449" s="14"/>
      <c r="U449" s="32"/>
      <c r="V449" s="52"/>
    </row>
    <row r="450" spans="2:22" x14ac:dyDescent="0.2">
      <c r="B450" s="123"/>
      <c r="C450" s="61"/>
      <c r="D450" s="35"/>
      <c r="E450" s="35"/>
      <c r="F450" s="8"/>
      <c r="G450" s="8"/>
      <c r="H450" s="8"/>
      <c r="I450" s="8"/>
      <c r="J450" s="46"/>
      <c r="K450" s="8"/>
      <c r="L450" s="8"/>
      <c r="M450" s="9"/>
      <c r="N450" s="8"/>
      <c r="O450" s="8"/>
      <c r="P450" s="8"/>
      <c r="Q450" s="8"/>
      <c r="R450" s="8"/>
      <c r="S450" s="8"/>
      <c r="T450" s="14"/>
      <c r="U450" s="32"/>
      <c r="V450" s="52"/>
    </row>
    <row r="451" spans="2:22" x14ac:dyDescent="0.2">
      <c r="B451" s="123"/>
      <c r="C451" s="61"/>
      <c r="D451" s="35"/>
      <c r="E451" s="35"/>
      <c r="F451" s="8"/>
      <c r="G451" s="8"/>
      <c r="H451" s="8"/>
      <c r="I451" s="8"/>
      <c r="J451" s="46"/>
      <c r="K451" s="8"/>
      <c r="L451" s="8"/>
      <c r="M451" s="9"/>
      <c r="N451" s="8"/>
      <c r="O451" s="8"/>
      <c r="P451" s="8"/>
      <c r="Q451" s="8"/>
      <c r="R451" s="8"/>
      <c r="S451" s="8"/>
      <c r="T451" s="14"/>
      <c r="U451" s="32"/>
      <c r="V451" s="52"/>
    </row>
    <row r="452" spans="2:22" x14ac:dyDescent="0.2">
      <c r="B452" s="123"/>
      <c r="C452" s="61"/>
      <c r="D452" s="35"/>
      <c r="E452" s="35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14"/>
      <c r="U452" s="32"/>
      <c r="V452" s="52"/>
    </row>
    <row r="453" spans="2:22" x14ac:dyDescent="0.2">
      <c r="B453" s="123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2"/>
      <c r="V453" s="52"/>
    </row>
    <row r="454" spans="2:22" x14ac:dyDescent="0.2">
      <c r="B454" s="123"/>
      <c r="V454" s="52"/>
    </row>
    <row r="455" spans="2:22" x14ac:dyDescent="0.2">
      <c r="C455" s="45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V455" s="52"/>
    </row>
    <row r="456" spans="2:22" x14ac:dyDescent="0.2">
      <c r="B456" s="125"/>
      <c r="C456" s="48"/>
      <c r="D456" s="63"/>
      <c r="E456" s="63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V456" s="52"/>
    </row>
    <row r="457" spans="2:22" x14ac:dyDescent="0.2">
      <c r="B457" s="125"/>
      <c r="C457" s="64"/>
      <c r="D457" s="63"/>
      <c r="E457" s="63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V457" s="52"/>
    </row>
    <row r="458" spans="2:22" x14ac:dyDescent="0.2">
      <c r="B458" s="125"/>
      <c r="C458" s="64"/>
      <c r="D458" s="63"/>
      <c r="E458" s="63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V458" s="52"/>
    </row>
    <row r="459" spans="2:22" x14ac:dyDescent="0.2">
      <c r="B459" s="125"/>
      <c r="C459" s="64"/>
      <c r="D459" s="63"/>
      <c r="E459" s="63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V459" s="52"/>
    </row>
    <row r="460" spans="2:22" x14ac:dyDescent="0.2">
      <c r="B460" s="125"/>
      <c r="C460" s="64"/>
      <c r="D460" s="63"/>
      <c r="E460" s="63"/>
      <c r="F460" s="31"/>
      <c r="G460" s="31"/>
      <c r="H460" s="31"/>
      <c r="I460" s="31"/>
      <c r="J460" s="60"/>
      <c r="K460" s="31"/>
      <c r="L460" s="31"/>
      <c r="M460" s="31"/>
      <c r="N460" s="31"/>
      <c r="O460" s="31"/>
      <c r="P460" s="31"/>
      <c r="Q460" s="31"/>
      <c r="R460" s="31"/>
      <c r="S460" s="31"/>
      <c r="V460" s="52"/>
    </row>
    <row r="461" spans="2:22" x14ac:dyDescent="0.2">
      <c r="B461" s="125"/>
      <c r="C461" s="64"/>
      <c r="D461" s="63"/>
      <c r="E461" s="63"/>
      <c r="F461" s="31"/>
      <c r="G461" s="31"/>
      <c r="H461" s="31"/>
      <c r="I461" s="31"/>
      <c r="J461" s="38"/>
      <c r="K461" s="31"/>
      <c r="L461" s="31"/>
      <c r="M461" s="47"/>
      <c r="N461" s="31"/>
      <c r="O461" s="31"/>
      <c r="P461" s="31"/>
      <c r="Q461" s="31"/>
      <c r="R461" s="31"/>
      <c r="S461" s="31"/>
      <c r="V461" s="52"/>
    </row>
    <row r="462" spans="2:22" x14ac:dyDescent="0.2">
      <c r="B462" s="125"/>
      <c r="C462" s="48"/>
      <c r="D462" s="63"/>
      <c r="E462" s="63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V462" s="52"/>
    </row>
    <row r="463" spans="2:22" x14ac:dyDescent="0.2">
      <c r="B463" s="125"/>
      <c r="C463" s="48"/>
      <c r="D463" s="63"/>
      <c r="E463" s="63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"/>
      <c r="U463" s="32"/>
      <c r="V463" s="21"/>
    </row>
    <row r="464" spans="2:22" x14ac:dyDescent="0.2">
      <c r="B464" s="125"/>
      <c r="C464" s="40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2"/>
    </row>
    <row r="465" spans="2:22" x14ac:dyDescent="0.2">
      <c r="B465" s="123"/>
      <c r="C465" s="55"/>
      <c r="D465" s="55"/>
      <c r="E465" s="55"/>
      <c r="F465" s="3"/>
      <c r="G465" s="3"/>
      <c r="H465" s="3"/>
      <c r="I465" s="3"/>
      <c r="J465" s="3"/>
      <c r="K465" s="3"/>
      <c r="L465" s="3"/>
      <c r="M465" s="7"/>
      <c r="N465" s="3"/>
      <c r="O465" s="3"/>
      <c r="P465" s="3"/>
      <c r="Q465" s="3"/>
      <c r="R465" s="3"/>
      <c r="S465" s="3"/>
      <c r="T465" s="14"/>
      <c r="U465" s="32"/>
    </row>
    <row r="466" spans="2:22" ht="15.75" x14ac:dyDescent="0.2">
      <c r="B466" s="123"/>
      <c r="C466" s="43"/>
      <c r="D466" s="44"/>
      <c r="E466" s="44"/>
      <c r="F466" s="36"/>
      <c r="G466" s="36"/>
      <c r="H466" s="36"/>
      <c r="I466" s="36"/>
      <c r="J466" s="37"/>
      <c r="K466" s="36"/>
      <c r="L466" s="36"/>
      <c r="M466" s="36"/>
      <c r="N466" s="36"/>
      <c r="O466" s="36"/>
      <c r="P466" s="36"/>
      <c r="Q466" s="36"/>
      <c r="R466" s="36"/>
      <c r="S466" s="36"/>
      <c r="T466" s="14"/>
      <c r="U466" s="32"/>
    </row>
    <row r="467" spans="2:22" ht="15.75" x14ac:dyDescent="0.2">
      <c r="B467" s="124"/>
      <c r="C467" s="43"/>
      <c r="D467" s="44"/>
      <c r="E467" s="44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3"/>
      <c r="U467" s="32"/>
    </row>
    <row r="468" spans="2:22" ht="15.75" x14ac:dyDescent="0.2">
      <c r="B468" s="124"/>
      <c r="C468" s="43"/>
      <c r="D468" s="44"/>
      <c r="E468" s="44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3"/>
      <c r="U468" s="32"/>
    </row>
    <row r="469" spans="2:22" ht="15.75" x14ac:dyDescent="0.2">
      <c r="B469" s="124"/>
      <c r="C469" s="43"/>
      <c r="D469" s="44"/>
      <c r="E469" s="44"/>
      <c r="F469" s="14"/>
      <c r="G469" s="14"/>
      <c r="H469" s="14"/>
      <c r="I469" s="14"/>
      <c r="J469" s="15"/>
      <c r="K469" s="14"/>
      <c r="L469" s="14"/>
      <c r="M469" s="41"/>
      <c r="N469" s="14"/>
      <c r="O469" s="14"/>
      <c r="P469" s="14"/>
      <c r="Q469" s="14"/>
      <c r="R469" s="14"/>
      <c r="S469" s="14"/>
    </row>
    <row r="470" spans="2:22" x14ac:dyDescent="0.2">
      <c r="B470" s="124"/>
      <c r="C470" s="57"/>
      <c r="D470" s="57"/>
      <c r="E470" s="57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2:22" x14ac:dyDescent="0.2">
      <c r="B471" s="123"/>
      <c r="C471" s="5"/>
      <c r="D471" s="313"/>
      <c r="E471" s="314"/>
      <c r="F471" s="3"/>
      <c r="G471" s="3"/>
      <c r="H471" s="3"/>
      <c r="I471" s="3"/>
      <c r="J471" s="7"/>
      <c r="K471" s="3"/>
      <c r="L471" s="3"/>
      <c r="M471" s="7"/>
      <c r="N471" s="3"/>
      <c r="O471" s="3"/>
      <c r="P471" s="3"/>
      <c r="Q471" s="3"/>
      <c r="R471" s="3"/>
      <c r="S471" s="3"/>
    </row>
    <row r="472" spans="2:22" x14ac:dyDescent="0.2">
      <c r="B472" s="123"/>
      <c r="C472" s="17"/>
      <c r="D472" s="24"/>
      <c r="E472" s="2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</row>
    <row r="473" spans="2:22" x14ac:dyDescent="0.2">
      <c r="B473" s="123"/>
      <c r="C473" s="17"/>
      <c r="D473" s="24"/>
      <c r="E473" s="24"/>
      <c r="F473" s="14"/>
      <c r="G473" s="14"/>
      <c r="H473" s="14"/>
      <c r="I473" s="14"/>
      <c r="J473" s="15"/>
      <c r="K473" s="14"/>
      <c r="L473" s="14"/>
      <c r="M473" s="16"/>
      <c r="N473" s="14"/>
      <c r="O473" s="14"/>
      <c r="P473" s="14"/>
      <c r="Q473" s="14"/>
      <c r="R473" s="14"/>
      <c r="S473" s="14"/>
    </row>
    <row r="474" spans="2:22" x14ac:dyDescent="0.2">
      <c r="B474" s="123"/>
      <c r="C474" s="17"/>
      <c r="D474" s="24"/>
      <c r="E474" s="2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2:22" x14ac:dyDescent="0.2">
      <c r="B475" s="123"/>
      <c r="C475" s="5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2:22" x14ac:dyDescent="0.2">
      <c r="B476" s="123"/>
      <c r="C476" s="28"/>
      <c r="D476" s="31"/>
      <c r="E476" s="29"/>
      <c r="F476" s="29"/>
      <c r="G476" s="29"/>
      <c r="H476" s="59"/>
      <c r="I476" s="29"/>
      <c r="J476" s="59"/>
      <c r="K476" s="49"/>
      <c r="L476" s="29"/>
      <c r="M476" s="29"/>
      <c r="N476" s="29"/>
      <c r="O476" s="29"/>
      <c r="P476" s="29"/>
      <c r="Q476" s="29"/>
      <c r="R476" s="29"/>
      <c r="S476" s="29"/>
      <c r="T476" s="3"/>
      <c r="U476" s="32"/>
    </row>
    <row r="477" spans="2:22" x14ac:dyDescent="0.2">
      <c r="B477" s="125"/>
      <c r="C477" s="30"/>
      <c r="D477" s="31"/>
      <c r="E477" s="31"/>
      <c r="F477" s="31"/>
      <c r="G477" s="31"/>
      <c r="H477" s="33"/>
      <c r="I477" s="31"/>
      <c r="J477" s="60"/>
      <c r="K477" s="60"/>
      <c r="L477" s="31"/>
      <c r="M477" s="31"/>
      <c r="N477" s="31"/>
      <c r="O477" s="31"/>
      <c r="P477" s="31"/>
      <c r="Q477" s="31"/>
      <c r="R477" s="31"/>
      <c r="S477" s="31"/>
      <c r="T477" s="8"/>
    </row>
    <row r="478" spans="2:22" x14ac:dyDescent="0.2">
      <c r="B478" s="125"/>
      <c r="C478" s="30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8"/>
    </row>
    <row r="479" spans="2:22" x14ac:dyDescent="0.2">
      <c r="B479" s="125"/>
      <c r="C479" s="30"/>
      <c r="D479" s="31"/>
      <c r="E479" s="31"/>
      <c r="F479" s="31"/>
      <c r="G479" s="31"/>
      <c r="H479" s="38"/>
      <c r="I479" s="31"/>
      <c r="J479" s="60"/>
      <c r="K479" s="31"/>
      <c r="L479" s="31"/>
      <c r="M479" s="31"/>
      <c r="N479" s="31"/>
      <c r="O479" s="31"/>
      <c r="P479" s="31"/>
      <c r="Q479" s="31"/>
      <c r="R479" s="31"/>
      <c r="S479" s="31"/>
      <c r="T479" s="8"/>
      <c r="V479" s="52"/>
    </row>
    <row r="480" spans="2:22" x14ac:dyDescent="0.2">
      <c r="B480" s="125"/>
      <c r="C480" s="28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3"/>
      <c r="U480" s="32"/>
      <c r="V480" s="52"/>
    </row>
    <row r="481" spans="2:22" x14ac:dyDescent="0.2">
      <c r="B481" s="125"/>
      <c r="V481" s="52"/>
    </row>
    <row r="482" spans="2:22" x14ac:dyDescent="0.2">
      <c r="V482" s="52"/>
    </row>
    <row r="483" spans="2:22" x14ac:dyDescent="0.2">
      <c r="V483" s="52"/>
    </row>
    <row r="484" spans="2:22" x14ac:dyDescent="0.2">
      <c r="V484" s="52"/>
    </row>
    <row r="485" spans="2:22" x14ac:dyDescent="0.2">
      <c r="V485" s="52"/>
    </row>
    <row r="486" spans="2:22" x14ac:dyDescent="0.2">
      <c r="V486" s="52"/>
    </row>
    <row r="487" spans="2:22" x14ac:dyDescent="0.2">
      <c r="V487" s="52"/>
    </row>
    <row r="488" spans="2:22" x14ac:dyDescent="0.2">
      <c r="V488" s="52"/>
    </row>
    <row r="489" spans="2:22" x14ac:dyDescent="0.2">
      <c r="V489" s="21"/>
    </row>
    <row r="496" spans="2:22" x14ac:dyDescent="0.2">
      <c r="C496" s="40"/>
      <c r="D496" s="2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8"/>
    </row>
    <row r="497" spans="2:21" x14ac:dyDescent="0.2">
      <c r="B497" s="123"/>
      <c r="C497" s="23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T497" s="8"/>
    </row>
    <row r="498" spans="2:21" x14ac:dyDescent="0.2">
      <c r="B498" s="123"/>
      <c r="C498" s="23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T498" s="8"/>
    </row>
    <row r="499" spans="2:21" x14ac:dyDescent="0.2">
      <c r="B499" s="123"/>
      <c r="C499" s="23"/>
      <c r="D499" s="22"/>
      <c r="E499" s="22"/>
      <c r="F499" s="22"/>
      <c r="G499" s="22"/>
      <c r="H499" s="22"/>
      <c r="I499" s="22"/>
      <c r="J499" s="15"/>
      <c r="K499" s="14"/>
      <c r="L499" s="14"/>
      <c r="M499" s="16"/>
      <c r="N499" s="14"/>
      <c r="O499" s="14"/>
      <c r="P499" s="14"/>
      <c r="Q499" s="14"/>
      <c r="R499" s="14"/>
      <c r="S499" s="14"/>
      <c r="T499" s="8"/>
    </row>
    <row r="500" spans="2:21" x14ac:dyDescent="0.2">
      <c r="B500" s="123"/>
      <c r="C500" s="23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T500" s="8"/>
    </row>
    <row r="501" spans="2:21" x14ac:dyDescent="0.2">
      <c r="B501" s="123"/>
      <c r="C501" s="23"/>
      <c r="D501" s="22"/>
      <c r="E501" s="22"/>
      <c r="F501" s="22"/>
      <c r="G501" s="22"/>
      <c r="H501" s="22"/>
      <c r="I501" s="22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8"/>
    </row>
    <row r="502" spans="2:21" x14ac:dyDescent="0.2">
      <c r="B502" s="123"/>
      <c r="C502" s="23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T502" s="8"/>
    </row>
    <row r="503" spans="2:21" x14ac:dyDescent="0.2">
      <c r="B503" s="123"/>
      <c r="C503" s="23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T503" s="8"/>
    </row>
    <row r="504" spans="2:21" x14ac:dyDescent="0.2">
      <c r="B504" s="123"/>
      <c r="C504" s="23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T504" s="8"/>
    </row>
    <row r="505" spans="2:21" x14ac:dyDescent="0.2">
      <c r="B505" s="123"/>
      <c r="C505" s="23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T505" s="8"/>
    </row>
    <row r="506" spans="2:21" x14ac:dyDescent="0.2">
      <c r="B506" s="123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2"/>
    </row>
    <row r="507" spans="2:21" x14ac:dyDescent="0.2">
      <c r="B507" s="123"/>
    </row>
  </sheetData>
  <mergeCells count="24">
    <mergeCell ref="D20:E20"/>
    <mergeCell ref="T1:T2"/>
    <mergeCell ref="I1:I2"/>
    <mergeCell ref="J1:N1"/>
    <mergeCell ref="O1:S1"/>
    <mergeCell ref="G1:G2"/>
    <mergeCell ref="H1:H2"/>
    <mergeCell ref="B1:B2"/>
    <mergeCell ref="C1:C2"/>
    <mergeCell ref="D1:D2"/>
    <mergeCell ref="E1:E2"/>
    <mergeCell ref="F1:F2"/>
    <mergeCell ref="D444:E444"/>
    <mergeCell ref="D471:E471"/>
    <mergeCell ref="D61:E61"/>
    <mergeCell ref="D428:E428"/>
    <mergeCell ref="D136:E136"/>
    <mergeCell ref="D182:E182"/>
    <mergeCell ref="D251:E251"/>
    <mergeCell ref="D299:E299"/>
    <mergeCell ref="D318:E318"/>
    <mergeCell ref="D327:E327"/>
    <mergeCell ref="D356:E356"/>
    <mergeCell ref="D346:E346"/>
  </mergeCells>
  <phoneticPr fontId="2" type="noConversion"/>
  <pageMargins left="0.19685039370078741" right="0" top="0.21" bottom="0.16" header="0.51181102362204722" footer="0.1968503937007874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856"/>
  <sheetViews>
    <sheetView view="pageBreakPreview" topLeftCell="A281" zoomScale="60" workbookViewId="0">
      <selection activeCell="I401" sqref="I401"/>
    </sheetView>
  </sheetViews>
  <sheetFormatPr defaultRowHeight="12.75" x14ac:dyDescent="0.2"/>
  <cols>
    <col min="1" max="1" width="1.85546875" customWidth="1"/>
    <col min="2" max="2" width="7.85546875" style="126" customWidth="1"/>
    <col min="3" max="3" width="30.140625" customWidth="1"/>
    <col min="4" max="4" width="7.28515625" customWidth="1"/>
    <col min="5" max="5" width="7.7109375" customWidth="1"/>
    <col min="6" max="6" width="7.140625" customWidth="1"/>
    <col min="7" max="7" width="6.85546875" customWidth="1"/>
    <col min="8" max="8" width="7" customWidth="1"/>
    <col min="9" max="9" width="7.5703125" customWidth="1"/>
    <col min="10" max="10" width="9" customWidth="1"/>
    <col min="11" max="11" width="8.140625" customWidth="1"/>
    <col min="12" max="12" width="7.28515625" customWidth="1"/>
    <col min="13" max="13" width="7.42578125" customWidth="1"/>
    <col min="14" max="14" width="6.140625" customWidth="1"/>
    <col min="15" max="15" width="5.140625" customWidth="1"/>
    <col min="16" max="16" width="6.28515625" customWidth="1"/>
    <col min="17" max="17" width="6.140625" customWidth="1"/>
    <col min="18" max="18" width="6.28515625" customWidth="1"/>
    <col min="19" max="19" width="6" style="22" customWidth="1"/>
    <col min="20" max="20" width="6.28515625" style="22" hidden="1" customWidth="1"/>
    <col min="21" max="21" width="7" style="93" customWidth="1"/>
    <col min="22" max="22" width="6.28515625" customWidth="1"/>
  </cols>
  <sheetData>
    <row r="1" spans="2:22" ht="38.25" customHeight="1" x14ac:dyDescent="0.2">
      <c r="B1" s="317" t="s">
        <v>7</v>
      </c>
      <c r="C1" s="319" t="s">
        <v>8</v>
      </c>
      <c r="D1" s="319" t="s">
        <v>9</v>
      </c>
      <c r="E1" s="319" t="s">
        <v>10</v>
      </c>
      <c r="F1" s="319" t="s">
        <v>11</v>
      </c>
      <c r="G1" s="319" t="s">
        <v>12</v>
      </c>
      <c r="H1" s="322" t="s">
        <v>13</v>
      </c>
      <c r="I1" s="322" t="s">
        <v>14</v>
      </c>
      <c r="J1" s="324" t="s">
        <v>26</v>
      </c>
      <c r="K1" s="324"/>
      <c r="L1" s="324"/>
      <c r="M1" s="324"/>
      <c r="N1" s="324"/>
      <c r="O1" s="324" t="s">
        <v>27</v>
      </c>
      <c r="P1" s="324"/>
      <c r="Q1" s="324"/>
      <c r="R1" s="324"/>
      <c r="S1" s="325"/>
      <c r="T1" s="321"/>
      <c r="U1" s="93" t="s">
        <v>150</v>
      </c>
      <c r="V1" s="56" t="s">
        <v>83</v>
      </c>
    </row>
    <row r="2" spans="2:22" ht="13.5" thickBot="1" x14ac:dyDescent="0.25">
      <c r="B2" s="318"/>
      <c r="C2" s="320"/>
      <c r="D2" s="320"/>
      <c r="E2" s="320"/>
      <c r="F2" s="320"/>
      <c r="G2" s="320"/>
      <c r="H2" s="323"/>
      <c r="I2" s="323"/>
      <c r="J2" s="12" t="s">
        <v>28</v>
      </c>
      <c r="K2" s="12" t="s">
        <v>15</v>
      </c>
      <c r="L2" s="12" t="s">
        <v>16</v>
      </c>
      <c r="M2" s="12" t="s">
        <v>17</v>
      </c>
      <c r="N2" s="12" t="s">
        <v>18</v>
      </c>
      <c r="O2" s="12" t="s">
        <v>19</v>
      </c>
      <c r="P2" s="12" t="s">
        <v>20</v>
      </c>
      <c r="Q2" s="12" t="s">
        <v>21</v>
      </c>
      <c r="R2" s="13" t="s">
        <v>22</v>
      </c>
      <c r="S2" s="53" t="s">
        <v>23</v>
      </c>
      <c r="T2" s="321"/>
      <c r="V2" s="52"/>
    </row>
    <row r="3" spans="2:22" x14ac:dyDescent="0.2">
      <c r="B3" s="201"/>
      <c r="C3" s="1" t="s">
        <v>0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3"/>
      <c r="S3" s="14"/>
      <c r="T3" s="14"/>
      <c r="V3" s="52"/>
    </row>
    <row r="4" spans="2:22" hidden="1" x14ac:dyDescent="0.2">
      <c r="B4" s="144"/>
      <c r="C4" s="1" t="s">
        <v>0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66"/>
      <c r="S4" s="69"/>
      <c r="T4" s="69"/>
      <c r="U4" s="96"/>
      <c r="V4" s="84"/>
    </row>
    <row r="5" spans="2:22" x14ac:dyDescent="0.2">
      <c r="B5" s="69"/>
      <c r="C5" s="196" t="s">
        <v>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  <c r="S5" s="69"/>
      <c r="T5" s="69"/>
      <c r="U5" s="96"/>
      <c r="V5" s="84"/>
    </row>
    <row r="6" spans="2:22" ht="25.5" x14ac:dyDescent="0.2">
      <c r="B6" s="69" t="s">
        <v>84</v>
      </c>
      <c r="C6" s="5" t="s">
        <v>85</v>
      </c>
      <c r="D6" s="69"/>
      <c r="E6" s="3">
        <v>250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69"/>
      <c r="U6" s="96"/>
      <c r="V6" s="96"/>
    </row>
    <row r="7" spans="2:22" x14ac:dyDescent="0.2">
      <c r="B7" s="69" t="s">
        <v>138</v>
      </c>
      <c r="C7" s="65" t="s">
        <v>42</v>
      </c>
      <c r="D7" s="69">
        <v>62.5</v>
      </c>
      <c r="E7" s="69">
        <v>50</v>
      </c>
      <c r="F7" s="69">
        <v>0.9</v>
      </c>
      <c r="G7" s="69">
        <v>0.05</v>
      </c>
      <c r="H7" s="69">
        <v>2.35</v>
      </c>
      <c r="I7" s="69">
        <v>14</v>
      </c>
      <c r="J7" s="69">
        <v>150</v>
      </c>
      <c r="K7" s="69">
        <v>24</v>
      </c>
      <c r="L7" s="69">
        <v>8</v>
      </c>
      <c r="M7" s="69">
        <v>15.5</v>
      </c>
      <c r="N7" s="69">
        <v>0.03</v>
      </c>
      <c r="O7" s="69">
        <v>0</v>
      </c>
      <c r="P7" s="69">
        <v>1.4999999999999999E-2</v>
      </c>
      <c r="Q7" s="69">
        <v>0.02</v>
      </c>
      <c r="R7" s="69">
        <v>0.35</v>
      </c>
      <c r="S7" s="69">
        <v>22.5</v>
      </c>
      <c r="T7" s="69">
        <v>34.5</v>
      </c>
      <c r="U7" s="96">
        <v>2.16</v>
      </c>
      <c r="V7" s="96">
        <v>2.16</v>
      </c>
    </row>
    <row r="8" spans="2:22" x14ac:dyDescent="0.2">
      <c r="B8" s="69"/>
      <c r="C8" s="65" t="s">
        <v>31</v>
      </c>
      <c r="D8" s="69">
        <v>40</v>
      </c>
      <c r="E8" s="69">
        <v>30</v>
      </c>
      <c r="F8" s="31">
        <v>0.48</v>
      </c>
      <c r="G8" s="31">
        <v>9.6000000000000002E-2</v>
      </c>
      <c r="H8" s="31">
        <v>3.9119999999999999</v>
      </c>
      <c r="I8" s="31">
        <v>18.48</v>
      </c>
      <c r="J8" s="31">
        <v>136.32</v>
      </c>
      <c r="K8" s="31">
        <v>2.4</v>
      </c>
      <c r="L8" s="31">
        <v>5.52</v>
      </c>
      <c r="M8" s="31">
        <v>13.92</v>
      </c>
      <c r="N8" s="31">
        <v>0.216</v>
      </c>
      <c r="O8" s="31">
        <v>0</v>
      </c>
      <c r="P8" s="31">
        <v>2.8799999999999999E-2</v>
      </c>
      <c r="Q8" s="31">
        <v>1.6799999999999999E-2</v>
      </c>
      <c r="R8" s="31">
        <v>0.312</v>
      </c>
      <c r="S8" s="31">
        <v>4.8</v>
      </c>
      <c r="T8" s="69">
        <v>35.76</v>
      </c>
      <c r="U8" s="96">
        <v>1.43</v>
      </c>
      <c r="V8" s="32">
        <v>1.43</v>
      </c>
    </row>
    <row r="9" spans="2:22" x14ac:dyDescent="0.2">
      <c r="B9" s="69"/>
      <c r="C9" s="65" t="s">
        <v>32</v>
      </c>
      <c r="D9" s="69">
        <v>15.8</v>
      </c>
      <c r="E9" s="69">
        <v>12.5</v>
      </c>
      <c r="F9" s="69">
        <v>0.104</v>
      </c>
      <c r="G9" s="69">
        <v>8.0000000000000002E-3</v>
      </c>
      <c r="H9" s="69">
        <v>0.55200000000000005</v>
      </c>
      <c r="I9" s="69">
        <v>2.8</v>
      </c>
      <c r="J9" s="69">
        <v>16</v>
      </c>
      <c r="K9" s="69">
        <v>2.16</v>
      </c>
      <c r="L9" s="69">
        <v>3.04</v>
      </c>
      <c r="M9" s="69">
        <v>4.4000000000000004</v>
      </c>
      <c r="N9" s="69">
        <v>5.6000000000000001E-2</v>
      </c>
      <c r="O9" s="69">
        <v>0</v>
      </c>
      <c r="P9" s="69">
        <v>4.7999999999999996E-3</v>
      </c>
      <c r="Q9" s="69">
        <v>5.5999999999999999E-3</v>
      </c>
      <c r="R9" s="69">
        <v>0.08</v>
      </c>
      <c r="S9" s="69">
        <v>0.4</v>
      </c>
      <c r="T9" s="69">
        <v>34.6</v>
      </c>
      <c r="U9" s="96">
        <v>0.55000000000000004</v>
      </c>
      <c r="V9" s="32">
        <v>0.55000000000000004</v>
      </c>
    </row>
    <row r="10" spans="2:22" x14ac:dyDescent="0.2">
      <c r="B10" s="69"/>
      <c r="C10" s="65" t="s">
        <v>33</v>
      </c>
      <c r="D10" s="69">
        <v>12</v>
      </c>
      <c r="E10" s="69">
        <v>10</v>
      </c>
      <c r="F10" s="69">
        <v>0.104</v>
      </c>
      <c r="G10" s="69">
        <v>8.0000000000000002E-3</v>
      </c>
      <c r="H10" s="69">
        <v>0.55200000000000005</v>
      </c>
      <c r="I10" s="69">
        <v>2.8</v>
      </c>
      <c r="J10" s="69">
        <v>16</v>
      </c>
      <c r="K10" s="69">
        <v>2.16</v>
      </c>
      <c r="L10" s="69">
        <v>3.04</v>
      </c>
      <c r="M10" s="69">
        <v>4.4000000000000004</v>
      </c>
      <c r="N10" s="69">
        <v>5.6000000000000001E-2</v>
      </c>
      <c r="O10" s="69">
        <v>0</v>
      </c>
      <c r="P10" s="69">
        <v>4.7999999999999996E-3</v>
      </c>
      <c r="Q10" s="69">
        <v>5.5999999999999999E-3</v>
      </c>
      <c r="R10" s="69">
        <v>0.08</v>
      </c>
      <c r="S10" s="69">
        <v>0.4</v>
      </c>
      <c r="T10" s="69">
        <v>34.229999999999997</v>
      </c>
      <c r="U10" s="96">
        <v>0.41</v>
      </c>
      <c r="V10" s="153">
        <v>0.41</v>
      </c>
    </row>
    <row r="11" spans="2:22" x14ac:dyDescent="0.2">
      <c r="B11" s="69"/>
      <c r="C11" s="65" t="s">
        <v>36</v>
      </c>
      <c r="D11" s="69">
        <v>0.8</v>
      </c>
      <c r="E11" s="69">
        <v>0.8</v>
      </c>
      <c r="F11" s="69">
        <v>2.8799999999999999E-2</v>
      </c>
      <c r="G11" s="69">
        <v>0</v>
      </c>
      <c r="H11" s="69">
        <v>0.114</v>
      </c>
      <c r="I11" s="69">
        <v>0.61199999999999999</v>
      </c>
      <c r="J11" s="86">
        <v>5.3</v>
      </c>
      <c r="K11" s="69">
        <v>0.12</v>
      </c>
      <c r="L11" s="69">
        <v>0.3</v>
      </c>
      <c r="M11" s="87">
        <v>4.08</v>
      </c>
      <c r="N11" s="69">
        <v>1.38E-2</v>
      </c>
      <c r="O11" s="69">
        <v>0</v>
      </c>
      <c r="P11" s="69">
        <v>8.9999999999999998E-4</v>
      </c>
      <c r="Q11" s="69">
        <v>1.0200000000000001E-3</v>
      </c>
      <c r="R11" s="69">
        <v>1.14E-2</v>
      </c>
      <c r="S11" s="69">
        <v>0.27</v>
      </c>
      <c r="T11" s="69">
        <v>176.53</v>
      </c>
      <c r="U11" s="96">
        <v>0.14000000000000001</v>
      </c>
      <c r="V11" s="84">
        <v>0.14000000000000001</v>
      </c>
    </row>
    <row r="12" spans="2:22" ht="25.5" x14ac:dyDescent="0.2">
      <c r="B12" s="69"/>
      <c r="C12" s="65" t="s">
        <v>34</v>
      </c>
      <c r="D12" s="69">
        <v>5</v>
      </c>
      <c r="E12" s="69">
        <v>5</v>
      </c>
      <c r="F12" s="69">
        <v>0</v>
      </c>
      <c r="G12" s="69">
        <v>3.996</v>
      </c>
      <c r="H12" s="69">
        <v>0</v>
      </c>
      <c r="I12" s="69">
        <v>35.96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70.400000000000006</v>
      </c>
      <c r="U12" s="96">
        <v>0.35</v>
      </c>
      <c r="V12" s="84">
        <v>0.35</v>
      </c>
    </row>
    <row r="13" spans="2:22" x14ac:dyDescent="0.2">
      <c r="B13" s="69"/>
      <c r="C13" s="65" t="s">
        <v>46</v>
      </c>
      <c r="D13" s="69">
        <v>2.5</v>
      </c>
      <c r="E13" s="69">
        <v>2.5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11.13</v>
      </c>
      <c r="U13" s="96">
        <v>0.03</v>
      </c>
      <c r="V13" s="84">
        <v>0.03</v>
      </c>
    </row>
    <row r="14" spans="2:22" s="26" customFormat="1" x14ac:dyDescent="0.2">
      <c r="B14" s="69"/>
      <c r="C14" s="65" t="s">
        <v>39</v>
      </c>
      <c r="D14" s="3">
        <v>6.0000000000000001E-3</v>
      </c>
      <c r="E14" s="3">
        <v>6.0000000000000001E-3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50">
        <v>0</v>
      </c>
      <c r="S14" s="3">
        <v>0</v>
      </c>
      <c r="T14" s="3">
        <v>300</v>
      </c>
      <c r="U14" s="32">
        <v>2.3999999999999998E-3</v>
      </c>
      <c r="V14" s="96">
        <v>0</v>
      </c>
    </row>
    <row r="15" spans="2:22" s="26" customFormat="1" x14ac:dyDescent="0.2">
      <c r="B15" s="69"/>
      <c r="C15" s="65" t="s">
        <v>35</v>
      </c>
      <c r="D15" s="69">
        <v>200</v>
      </c>
      <c r="E15" s="3">
        <v>200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26">
        <v>0</v>
      </c>
      <c r="U15" s="32">
        <v>0</v>
      </c>
      <c r="V15" s="96">
        <v>0</v>
      </c>
    </row>
    <row r="16" spans="2:22" s="26" customFormat="1" x14ac:dyDescent="0.2">
      <c r="B16" s="69"/>
      <c r="C16" s="78" t="s">
        <v>77</v>
      </c>
      <c r="D16" s="69"/>
      <c r="E16" s="69"/>
      <c r="F16" s="36">
        <v>1.6168</v>
      </c>
      <c r="G16" s="36">
        <v>4.1580000000000004</v>
      </c>
      <c r="H16" s="36">
        <v>7.48</v>
      </c>
      <c r="I16" s="36">
        <v>74.652000000000001</v>
      </c>
      <c r="J16" s="37">
        <v>323.57</v>
      </c>
      <c r="K16" s="36">
        <v>30.84</v>
      </c>
      <c r="L16" s="36">
        <v>19.899999999999999</v>
      </c>
      <c r="M16" s="36">
        <v>42.3</v>
      </c>
      <c r="N16" s="36">
        <v>0.37180000000000002</v>
      </c>
      <c r="O16" s="36">
        <v>0</v>
      </c>
      <c r="P16" s="36">
        <v>5.4300000000000001E-2</v>
      </c>
      <c r="Q16" s="36">
        <v>4.9020000000000001E-2</v>
      </c>
      <c r="R16" s="36">
        <v>0.83340000000000003</v>
      </c>
      <c r="S16" s="36">
        <v>28.37</v>
      </c>
      <c r="U16" s="96">
        <v>5.07</v>
      </c>
      <c r="V16" s="96">
        <v>5.07</v>
      </c>
    </row>
    <row r="17" spans="1:23" s="26" customFormat="1" x14ac:dyDescent="0.2">
      <c r="B17" s="69"/>
      <c r="C17" s="5" t="s">
        <v>125</v>
      </c>
      <c r="D17" s="69"/>
      <c r="E17" s="3">
        <v>200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U17" s="32"/>
      <c r="V17" s="96"/>
    </row>
    <row r="18" spans="1:23" s="26" customFormat="1" ht="38.25" x14ac:dyDescent="0.2">
      <c r="B18" s="69" t="s">
        <v>124</v>
      </c>
      <c r="C18" s="78" t="s">
        <v>126</v>
      </c>
      <c r="D18" s="69">
        <v>176.2</v>
      </c>
      <c r="E18" s="69">
        <v>191</v>
      </c>
      <c r="F18" s="36">
        <f>15.5*E18/100</f>
        <v>29.605</v>
      </c>
      <c r="G18" s="36">
        <f>8*E18/100</f>
        <v>15.28</v>
      </c>
      <c r="H18" s="36">
        <f>29.7*E18/100</f>
        <v>56.726999999999997</v>
      </c>
      <c r="I18" s="36">
        <f>245*E18/100</f>
        <v>467.95</v>
      </c>
      <c r="J18" s="37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U18" s="96">
        <v>164.16</v>
      </c>
      <c r="V18" s="96">
        <v>0.14080000000000001</v>
      </c>
    </row>
    <row r="19" spans="1:23" s="26" customFormat="1" x14ac:dyDescent="0.2">
      <c r="B19" s="69"/>
      <c r="C19" s="65" t="s">
        <v>37</v>
      </c>
      <c r="D19" s="69">
        <v>9</v>
      </c>
      <c r="E19" s="69">
        <v>9</v>
      </c>
      <c r="F19" s="69">
        <f>0.8*E19/100</f>
        <v>7.2000000000000008E-2</v>
      </c>
      <c r="G19" s="69">
        <f>72.5*E19/100</f>
        <v>6.5250000000000004</v>
      </c>
      <c r="H19" s="69">
        <f>1.3*E19/100</f>
        <v>0.11700000000000001</v>
      </c>
      <c r="I19" s="69">
        <f>661*E19/100</f>
        <v>59.49</v>
      </c>
      <c r="J19" s="86">
        <f>23*E19/100</f>
        <v>2.0699999999999998</v>
      </c>
      <c r="K19" s="69">
        <f>22*E19/100</f>
        <v>1.98</v>
      </c>
      <c r="L19" s="69">
        <f>3*E19/100</f>
        <v>0.27</v>
      </c>
      <c r="M19" s="85">
        <f>19*E19/100</f>
        <v>1.71</v>
      </c>
      <c r="N19" s="69">
        <f>0.2*E19/100</f>
        <v>1.8000000000000002E-2</v>
      </c>
      <c r="O19" s="69">
        <f>0.5*E19/100</f>
        <v>4.4999999999999998E-2</v>
      </c>
      <c r="P19" s="69">
        <f>0</f>
        <v>0</v>
      </c>
      <c r="Q19" s="96">
        <f>0.01*E19/1000</f>
        <v>8.9999999999999992E-5</v>
      </c>
      <c r="R19" s="69">
        <f>0.1*E19/100</f>
        <v>9.0000000000000011E-3</v>
      </c>
      <c r="S19" s="69">
        <f>0</f>
        <v>0</v>
      </c>
      <c r="U19" s="96">
        <v>337.78</v>
      </c>
      <c r="V19" s="96">
        <v>2.2259999999999999E-2</v>
      </c>
    </row>
    <row r="20" spans="1:23" s="26" customFormat="1" x14ac:dyDescent="0.2">
      <c r="B20" s="69"/>
      <c r="C20" s="39" t="s">
        <v>47</v>
      </c>
      <c r="D20" s="69"/>
      <c r="E20" s="69"/>
      <c r="F20" s="3">
        <f>F18+F19</f>
        <v>29.677</v>
      </c>
      <c r="G20" s="3">
        <f t="shared" ref="G20:S20" si="0">G18+G19</f>
        <v>21.805</v>
      </c>
      <c r="H20" s="3">
        <f t="shared" si="0"/>
        <v>56.843999999999994</v>
      </c>
      <c r="I20" s="3">
        <f t="shared" si="0"/>
        <v>527.43999999999994</v>
      </c>
      <c r="J20" s="3">
        <f t="shared" si="0"/>
        <v>2.0699999999999998</v>
      </c>
      <c r="K20" s="3">
        <f t="shared" si="0"/>
        <v>1.98</v>
      </c>
      <c r="L20" s="3">
        <f t="shared" si="0"/>
        <v>0.27</v>
      </c>
      <c r="M20" s="3">
        <f t="shared" si="0"/>
        <v>1.71</v>
      </c>
      <c r="N20" s="3">
        <f t="shared" si="0"/>
        <v>1.8000000000000002E-2</v>
      </c>
      <c r="O20" s="3">
        <f t="shared" si="0"/>
        <v>4.4999999999999998E-2</v>
      </c>
      <c r="P20" s="3">
        <f t="shared" si="0"/>
        <v>0</v>
      </c>
      <c r="Q20" s="3">
        <f t="shared" si="0"/>
        <v>8.9999999999999992E-5</v>
      </c>
      <c r="R20" s="3">
        <f t="shared" si="0"/>
        <v>9.0000000000000011E-3</v>
      </c>
      <c r="S20" s="3">
        <f t="shared" si="0"/>
        <v>0</v>
      </c>
      <c r="U20" s="96"/>
      <c r="V20" s="96">
        <v>0</v>
      </c>
    </row>
    <row r="21" spans="1:23" s="26" customFormat="1" x14ac:dyDescent="0.2">
      <c r="B21" s="69" t="s">
        <v>73</v>
      </c>
      <c r="C21" s="5" t="s">
        <v>74</v>
      </c>
      <c r="D21" s="313" t="s">
        <v>75</v>
      </c>
      <c r="E21" s="314"/>
      <c r="F21" s="3">
        <f t="shared" ref="F21:S21" si="1">SUM(F22:F24)</f>
        <v>0.1</v>
      </c>
      <c r="G21" s="3">
        <f t="shared" si="1"/>
        <v>0</v>
      </c>
      <c r="H21" s="3">
        <f t="shared" si="1"/>
        <v>15</v>
      </c>
      <c r="I21" s="3">
        <f t="shared" si="1"/>
        <v>57.699999999999996</v>
      </c>
      <c r="J21" s="3">
        <f t="shared" si="1"/>
        <v>12.9</v>
      </c>
      <c r="K21" s="3">
        <f t="shared" si="1"/>
        <v>2.9</v>
      </c>
      <c r="L21" s="3">
        <f t="shared" si="1"/>
        <v>2.2000000000000002</v>
      </c>
      <c r="M21" s="3">
        <f t="shared" si="1"/>
        <v>4.12</v>
      </c>
      <c r="N21" s="3">
        <f t="shared" si="1"/>
        <v>0.4</v>
      </c>
      <c r="O21" s="3">
        <f t="shared" si="1"/>
        <v>0</v>
      </c>
      <c r="P21" s="3">
        <f t="shared" si="1"/>
        <v>0</v>
      </c>
      <c r="Q21" s="3">
        <f t="shared" si="1"/>
        <v>0</v>
      </c>
      <c r="R21" s="50">
        <f t="shared" si="1"/>
        <v>0</v>
      </c>
      <c r="S21" s="3">
        <f t="shared" si="1"/>
        <v>0</v>
      </c>
      <c r="T21" s="69"/>
      <c r="U21" s="96"/>
      <c r="V21" s="84"/>
    </row>
    <row r="22" spans="1:23" s="26" customFormat="1" x14ac:dyDescent="0.2">
      <c r="B22" s="69"/>
      <c r="C22" s="65" t="s">
        <v>40</v>
      </c>
      <c r="D22" s="159">
        <v>50</v>
      </c>
      <c r="E22" s="159">
        <v>50</v>
      </c>
      <c r="F22" s="69">
        <v>0.1</v>
      </c>
      <c r="G22" s="69">
        <v>0</v>
      </c>
      <c r="H22" s="69">
        <v>0</v>
      </c>
      <c r="I22" s="69">
        <v>0.8</v>
      </c>
      <c r="J22" s="85">
        <v>12.4</v>
      </c>
      <c r="K22" s="69">
        <v>2.5</v>
      </c>
      <c r="L22" s="69">
        <v>2.2000000000000002</v>
      </c>
      <c r="M22" s="85">
        <v>4.12</v>
      </c>
      <c r="N22" s="69">
        <v>0.4</v>
      </c>
      <c r="O22" s="69">
        <v>0</v>
      </c>
      <c r="P22" s="69">
        <v>0</v>
      </c>
      <c r="Q22" s="69">
        <v>0</v>
      </c>
      <c r="R22" s="70">
        <v>0</v>
      </c>
      <c r="S22" s="69">
        <v>0</v>
      </c>
      <c r="T22" s="69"/>
      <c r="U22" s="96">
        <v>539.16999999999996</v>
      </c>
      <c r="V22" s="84">
        <f>1*U22/1000</f>
        <v>0.53916999999999993</v>
      </c>
    </row>
    <row r="23" spans="1:23" s="26" customFormat="1" x14ac:dyDescent="0.2">
      <c r="B23" s="69"/>
      <c r="C23" s="65" t="s">
        <v>30</v>
      </c>
      <c r="D23" s="159">
        <v>15</v>
      </c>
      <c r="E23" s="159">
        <v>15</v>
      </c>
      <c r="F23" s="69">
        <v>0</v>
      </c>
      <c r="G23" s="69">
        <v>0</v>
      </c>
      <c r="H23" s="69">
        <v>15</v>
      </c>
      <c r="I23" s="69">
        <v>56.9</v>
      </c>
      <c r="J23" s="85">
        <v>0.5</v>
      </c>
      <c r="K23" s="69">
        <v>0.4</v>
      </c>
      <c r="L23" s="69">
        <v>0</v>
      </c>
      <c r="M23" s="85">
        <v>0</v>
      </c>
      <c r="N23" s="69">
        <v>0</v>
      </c>
      <c r="O23" s="69">
        <v>0</v>
      </c>
      <c r="P23" s="69">
        <v>0</v>
      </c>
      <c r="Q23" s="69">
        <v>0</v>
      </c>
      <c r="R23" s="70">
        <v>0</v>
      </c>
      <c r="S23" s="69">
        <v>0</v>
      </c>
      <c r="T23" s="69"/>
      <c r="U23" s="96">
        <v>50.97</v>
      </c>
      <c r="V23" s="84">
        <f>D23*U23/1000</f>
        <v>0.76454999999999995</v>
      </c>
    </row>
    <row r="24" spans="1:23" s="67" customFormat="1" x14ac:dyDescent="0.2">
      <c r="A24" s="154"/>
      <c r="B24" s="69"/>
      <c r="C24" s="65" t="s">
        <v>35</v>
      </c>
      <c r="D24" s="159">
        <v>150</v>
      </c>
      <c r="E24" s="159">
        <v>150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70">
        <v>0</v>
      </c>
      <c r="S24" s="69">
        <v>0</v>
      </c>
      <c r="T24" s="69"/>
      <c r="U24" s="96">
        <v>0</v>
      </c>
      <c r="V24" s="84">
        <f>D24*U24/1000</f>
        <v>0</v>
      </c>
      <c r="W24" s="154"/>
    </row>
    <row r="25" spans="1:23" x14ac:dyDescent="0.2">
      <c r="B25" s="69"/>
      <c r="C25" s="39" t="s">
        <v>47</v>
      </c>
      <c r="D25" s="196"/>
      <c r="E25" s="19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3"/>
      <c r="U25" s="32"/>
      <c r="V25" s="21">
        <f>SUM(V22:V24)</f>
        <v>1.3037199999999998</v>
      </c>
    </row>
    <row r="26" spans="1:23" x14ac:dyDescent="0.2">
      <c r="B26" s="69"/>
      <c r="C26" s="42" t="s">
        <v>25</v>
      </c>
      <c r="D26" s="42"/>
      <c r="E26" s="42"/>
      <c r="F26" s="42">
        <v>28.915900000000001</v>
      </c>
      <c r="G26" s="42">
        <v>30.662700000000001</v>
      </c>
      <c r="H26" s="42">
        <v>88.719399999999993</v>
      </c>
      <c r="I26" s="42">
        <v>666.63760000000002</v>
      </c>
      <c r="J26" s="42">
        <v>786.74599999999998</v>
      </c>
      <c r="K26" s="42">
        <v>131.678</v>
      </c>
      <c r="L26" s="42">
        <v>135.65799999999999</v>
      </c>
      <c r="M26" s="42">
        <v>183.2825</v>
      </c>
      <c r="N26" s="42">
        <v>8.1952200000000008</v>
      </c>
      <c r="O26" s="42">
        <v>6.3E-2</v>
      </c>
      <c r="P26" s="42">
        <v>0.51873999999999998</v>
      </c>
      <c r="Q26" s="42">
        <v>0.33509100000000003</v>
      </c>
      <c r="R26" s="42">
        <v>6.69116</v>
      </c>
      <c r="S26" s="42">
        <v>45.122500000000002</v>
      </c>
      <c r="T26" s="42"/>
      <c r="U26" s="153">
        <v>33.19</v>
      </c>
      <c r="V26" s="135">
        <v>0.88400000000000001</v>
      </c>
    </row>
    <row r="27" spans="1:23" s="26" customFormat="1" x14ac:dyDescent="0.2">
      <c r="B27" s="169"/>
      <c r="C27" s="257" t="s">
        <v>3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153"/>
      <c r="V27" s="170"/>
    </row>
    <row r="28" spans="1:23" s="26" customFormat="1" x14ac:dyDescent="0.2">
      <c r="B28" s="169"/>
      <c r="C28" s="257" t="s">
        <v>1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153"/>
      <c r="V28" s="170"/>
    </row>
    <row r="29" spans="1:23" ht="25.5" x14ac:dyDescent="0.2">
      <c r="B29" s="123" t="s">
        <v>2</v>
      </c>
      <c r="C29" s="5" t="s">
        <v>48</v>
      </c>
      <c r="D29" s="14"/>
      <c r="E29" s="3">
        <v>250</v>
      </c>
      <c r="F29" s="4"/>
      <c r="G29" s="4"/>
      <c r="H29" s="11" t="s">
        <v>138</v>
      </c>
      <c r="I29" s="215"/>
      <c r="J29" s="11"/>
      <c r="K29" s="4"/>
      <c r="L29" s="4"/>
      <c r="M29" s="4"/>
      <c r="N29" s="4"/>
      <c r="O29" s="4"/>
      <c r="P29" s="4"/>
      <c r="Q29" s="4"/>
      <c r="R29" s="4"/>
      <c r="S29" s="4"/>
      <c r="V29" s="52"/>
    </row>
    <row r="30" spans="1:23" x14ac:dyDescent="0.2">
      <c r="B30" s="123"/>
      <c r="C30" s="17" t="s">
        <v>41</v>
      </c>
      <c r="D30" s="14">
        <v>50</v>
      </c>
      <c r="E30" s="14">
        <v>40</v>
      </c>
      <c r="F30" s="14">
        <v>0.6</v>
      </c>
      <c r="G30" s="14">
        <v>0.04</v>
      </c>
      <c r="H30" s="16">
        <v>4</v>
      </c>
      <c r="I30" s="16">
        <v>16.8</v>
      </c>
      <c r="J30" s="14">
        <v>115.2</v>
      </c>
      <c r="K30" s="14">
        <v>14.8</v>
      </c>
      <c r="L30" s="14">
        <v>8.8000000000000007</v>
      </c>
      <c r="M30" s="14">
        <v>17.2</v>
      </c>
      <c r="N30" s="14">
        <v>0.56000000000000005</v>
      </c>
      <c r="O30" s="14">
        <v>0</v>
      </c>
      <c r="P30" s="14">
        <v>0</v>
      </c>
      <c r="Q30" s="14">
        <v>0</v>
      </c>
      <c r="R30" s="14">
        <v>0</v>
      </c>
      <c r="S30" s="14">
        <v>4</v>
      </c>
      <c r="U30" s="93">
        <v>27.82</v>
      </c>
      <c r="V30" s="52">
        <f t="shared" ref="V30:V40" si="2">D30*U30/1000</f>
        <v>1.391</v>
      </c>
    </row>
    <row r="31" spans="1:23" x14ac:dyDescent="0.2">
      <c r="B31" s="123"/>
      <c r="C31" s="17" t="s">
        <v>42</v>
      </c>
      <c r="D31" s="14">
        <v>25</v>
      </c>
      <c r="E31" s="14">
        <v>20</v>
      </c>
      <c r="F31" s="14">
        <v>0.36</v>
      </c>
      <c r="G31" s="14">
        <v>0.02</v>
      </c>
      <c r="H31" s="16">
        <v>0.94</v>
      </c>
      <c r="I31" s="16">
        <v>5.4</v>
      </c>
      <c r="J31" s="14">
        <v>60</v>
      </c>
      <c r="K31" s="14">
        <v>9.6</v>
      </c>
      <c r="L31" s="14">
        <v>3.2</v>
      </c>
      <c r="M31" s="14">
        <v>6.2</v>
      </c>
      <c r="N31" s="14">
        <v>0.12</v>
      </c>
      <c r="O31" s="14">
        <v>0</v>
      </c>
      <c r="P31" s="14">
        <v>0</v>
      </c>
      <c r="Q31" s="14">
        <v>0</v>
      </c>
      <c r="R31" s="14">
        <v>0</v>
      </c>
      <c r="S31" s="14">
        <v>9</v>
      </c>
      <c r="U31" s="93">
        <v>34.5</v>
      </c>
      <c r="V31" s="52">
        <f t="shared" si="2"/>
        <v>0.86250000000000004</v>
      </c>
    </row>
    <row r="32" spans="1:23" x14ac:dyDescent="0.2">
      <c r="B32" s="123"/>
      <c r="C32" s="17" t="s">
        <v>31</v>
      </c>
      <c r="D32" s="14">
        <v>26.7</v>
      </c>
      <c r="E32" s="14">
        <v>20</v>
      </c>
      <c r="F32" s="14">
        <v>0.4</v>
      </c>
      <c r="G32" s="14">
        <v>0.08</v>
      </c>
      <c r="H32" s="16">
        <v>3.46</v>
      </c>
      <c r="I32" s="16">
        <v>16</v>
      </c>
      <c r="J32" s="14">
        <v>113.6</v>
      </c>
      <c r="K32" s="14">
        <v>2</v>
      </c>
      <c r="L32" s="14">
        <v>4.5999999999999996</v>
      </c>
      <c r="M32" s="14">
        <v>11.6</v>
      </c>
      <c r="N32" s="14">
        <v>0.18</v>
      </c>
      <c r="O32" s="14">
        <v>0</v>
      </c>
      <c r="P32" s="14">
        <v>0</v>
      </c>
      <c r="Q32" s="14">
        <v>0</v>
      </c>
      <c r="R32" s="14">
        <v>0.26</v>
      </c>
      <c r="S32" s="14">
        <v>4</v>
      </c>
      <c r="U32" s="93">
        <v>35.76</v>
      </c>
      <c r="V32" s="52">
        <f t="shared" si="2"/>
        <v>0.95479199999999986</v>
      </c>
    </row>
    <row r="33" spans="2:22" x14ac:dyDescent="0.2">
      <c r="B33" s="123"/>
      <c r="C33" s="17" t="s">
        <v>32</v>
      </c>
      <c r="D33" s="14">
        <v>15.7</v>
      </c>
      <c r="E33" s="14">
        <v>12.5</v>
      </c>
      <c r="F33" s="14">
        <v>0.16</v>
      </c>
      <c r="G33" s="14">
        <v>0.01</v>
      </c>
      <c r="H33" s="16">
        <v>1.05</v>
      </c>
      <c r="I33" s="16">
        <v>4.25</v>
      </c>
      <c r="J33" s="15">
        <v>25</v>
      </c>
      <c r="K33" s="14">
        <v>3.37</v>
      </c>
      <c r="L33" s="14">
        <v>4.75</v>
      </c>
      <c r="M33" s="16">
        <v>6.9</v>
      </c>
      <c r="N33" s="14">
        <v>0.08</v>
      </c>
      <c r="O33" s="14">
        <v>0</v>
      </c>
      <c r="P33" s="14">
        <v>0</v>
      </c>
      <c r="Q33" s="14">
        <v>0</v>
      </c>
      <c r="R33" s="14">
        <v>0.13</v>
      </c>
      <c r="S33" s="14">
        <v>1.25</v>
      </c>
      <c r="U33" s="93">
        <v>34.6</v>
      </c>
      <c r="V33" s="52">
        <f t="shared" si="2"/>
        <v>0.54322000000000004</v>
      </c>
    </row>
    <row r="34" spans="2:22" x14ac:dyDescent="0.2">
      <c r="B34" s="123"/>
      <c r="C34" s="17" t="s">
        <v>33</v>
      </c>
      <c r="D34" s="14">
        <v>12</v>
      </c>
      <c r="E34" s="14">
        <v>10</v>
      </c>
      <c r="F34" s="14">
        <v>0.14000000000000001</v>
      </c>
      <c r="G34" s="14">
        <v>0</v>
      </c>
      <c r="H34" s="16">
        <v>0.91</v>
      </c>
      <c r="I34" s="16">
        <v>4.0999999999999996</v>
      </c>
      <c r="J34" s="22">
        <v>17.5</v>
      </c>
      <c r="K34" s="22">
        <v>3.1</v>
      </c>
      <c r="L34" s="22">
        <v>1.4</v>
      </c>
      <c r="M34" s="22">
        <v>5.8</v>
      </c>
      <c r="N34" s="22">
        <v>0.08</v>
      </c>
      <c r="O34" s="22">
        <v>0</v>
      </c>
      <c r="P34" s="22">
        <v>0</v>
      </c>
      <c r="Q34" s="22">
        <v>0</v>
      </c>
      <c r="R34" s="22">
        <v>0</v>
      </c>
      <c r="S34" s="22">
        <v>1</v>
      </c>
      <c r="U34" s="93">
        <v>34.229999999999997</v>
      </c>
      <c r="V34" s="52">
        <f t="shared" si="2"/>
        <v>0.41076000000000001</v>
      </c>
    </row>
    <row r="35" spans="2:22" x14ac:dyDescent="0.2">
      <c r="B35" s="123"/>
      <c r="C35" s="17" t="s">
        <v>36</v>
      </c>
      <c r="D35" s="14">
        <v>3</v>
      </c>
      <c r="E35" s="14">
        <v>3</v>
      </c>
      <c r="F35" s="14">
        <v>0.17</v>
      </c>
      <c r="G35" s="14">
        <v>0</v>
      </c>
      <c r="H35" s="16">
        <v>0.8</v>
      </c>
      <c r="I35" s="16">
        <v>3.7</v>
      </c>
      <c r="J35" s="14">
        <v>31.5</v>
      </c>
      <c r="K35" s="14">
        <v>0.72</v>
      </c>
      <c r="L35" s="14">
        <v>1.8</v>
      </c>
      <c r="M35" s="14">
        <v>2.4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1.6</v>
      </c>
      <c r="U35" s="93">
        <v>176.53</v>
      </c>
      <c r="V35" s="52">
        <f t="shared" si="2"/>
        <v>0.52959000000000001</v>
      </c>
    </row>
    <row r="36" spans="2:22" ht="26.25" customHeight="1" x14ac:dyDescent="0.2">
      <c r="B36" s="123"/>
      <c r="C36" s="17" t="s">
        <v>34</v>
      </c>
      <c r="D36" s="14">
        <v>5</v>
      </c>
      <c r="E36" s="14">
        <v>5</v>
      </c>
      <c r="F36" s="14">
        <v>0</v>
      </c>
      <c r="G36" s="14">
        <v>5</v>
      </c>
      <c r="H36" s="16">
        <v>0</v>
      </c>
      <c r="I36" s="16">
        <v>44.95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U36" s="93">
        <v>70.400000000000006</v>
      </c>
      <c r="V36" s="52">
        <f t="shared" si="2"/>
        <v>0.35199999999999998</v>
      </c>
    </row>
    <row r="37" spans="2:22" x14ac:dyDescent="0.2">
      <c r="B37" s="123"/>
      <c r="C37" s="17" t="s">
        <v>30</v>
      </c>
      <c r="D37" s="14">
        <v>2.5</v>
      </c>
      <c r="E37" s="14">
        <v>2.5</v>
      </c>
      <c r="F37" s="14">
        <v>0</v>
      </c>
      <c r="G37" s="14">
        <v>0</v>
      </c>
      <c r="H37" s="16">
        <v>2.5</v>
      </c>
      <c r="I37" s="16">
        <v>9.5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U37" s="93">
        <v>35.159999999999997</v>
      </c>
      <c r="V37" s="52">
        <f t="shared" si="2"/>
        <v>8.7899999999999992E-2</v>
      </c>
    </row>
    <row r="38" spans="2:22" x14ac:dyDescent="0.2">
      <c r="B38" s="123"/>
      <c r="C38" s="17" t="s">
        <v>46</v>
      </c>
      <c r="D38" s="14">
        <v>2.5</v>
      </c>
      <c r="E38" s="14">
        <v>2.5</v>
      </c>
      <c r="F38" s="14">
        <v>0</v>
      </c>
      <c r="G38" s="14">
        <v>0</v>
      </c>
      <c r="H38" s="16">
        <v>0</v>
      </c>
      <c r="I38" s="16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U38" s="93">
        <v>11.13</v>
      </c>
      <c r="V38" s="52">
        <f t="shared" si="2"/>
        <v>2.7825000000000003E-2</v>
      </c>
    </row>
    <row r="39" spans="2:22" s="26" customFormat="1" x14ac:dyDescent="0.2">
      <c r="B39" s="123"/>
      <c r="C39" s="17" t="s">
        <v>39</v>
      </c>
      <c r="D39" s="14">
        <v>6.0000000000000001E-3</v>
      </c>
      <c r="E39" s="14">
        <v>6.0000000000000001E-3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3"/>
      <c r="U39" s="96">
        <v>300</v>
      </c>
      <c r="V39" s="52">
        <f t="shared" si="2"/>
        <v>1.8E-3</v>
      </c>
    </row>
    <row r="40" spans="2:22" x14ac:dyDescent="0.2">
      <c r="B40" s="123"/>
      <c r="C40" s="17" t="s">
        <v>43</v>
      </c>
      <c r="D40" s="14">
        <v>200</v>
      </c>
      <c r="E40" s="14">
        <v>200</v>
      </c>
      <c r="F40" s="14">
        <v>0</v>
      </c>
      <c r="G40" s="14">
        <v>0</v>
      </c>
      <c r="H40" s="15">
        <v>0</v>
      </c>
      <c r="I40" s="15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U40" s="93">
        <v>0</v>
      </c>
      <c r="V40" s="52">
        <f t="shared" si="2"/>
        <v>0</v>
      </c>
    </row>
    <row r="41" spans="2:22" x14ac:dyDescent="0.2">
      <c r="B41" s="123"/>
      <c r="C41" s="5" t="s">
        <v>47</v>
      </c>
      <c r="D41" s="3"/>
      <c r="E41" s="3"/>
      <c r="F41" s="3">
        <f>SUM(F30:F40)</f>
        <v>1.8299999999999996</v>
      </c>
      <c r="G41" s="3">
        <f t="shared" ref="G41:T41" si="3">SUM(G30:G40)</f>
        <v>5.15</v>
      </c>
      <c r="H41" s="3">
        <f t="shared" si="3"/>
        <v>13.66</v>
      </c>
      <c r="I41" s="3">
        <f t="shared" si="3"/>
        <v>104.70000000000002</v>
      </c>
      <c r="J41" s="3">
        <f t="shared" si="3"/>
        <v>362.79999999999995</v>
      </c>
      <c r="K41" s="3">
        <f t="shared" si="3"/>
        <v>33.589999999999996</v>
      </c>
      <c r="L41" s="3">
        <f t="shared" si="3"/>
        <v>24.55</v>
      </c>
      <c r="M41" s="3">
        <f t="shared" si="3"/>
        <v>50.099999999999994</v>
      </c>
      <c r="N41" s="3">
        <f t="shared" si="3"/>
        <v>1.02</v>
      </c>
      <c r="O41" s="3">
        <f t="shared" si="3"/>
        <v>0</v>
      </c>
      <c r="P41" s="3">
        <f t="shared" si="3"/>
        <v>0</v>
      </c>
      <c r="Q41" s="3">
        <f t="shared" si="3"/>
        <v>0</v>
      </c>
      <c r="R41" s="3">
        <f t="shared" si="3"/>
        <v>0.39</v>
      </c>
      <c r="S41" s="3">
        <f t="shared" si="3"/>
        <v>20.85</v>
      </c>
      <c r="T41" s="58">
        <f t="shared" si="3"/>
        <v>0</v>
      </c>
      <c r="U41" s="32"/>
      <c r="V41" s="21">
        <f>SUM(V30:V40)</f>
        <v>5.1613870000000004</v>
      </c>
    </row>
    <row r="42" spans="2:22" x14ac:dyDescent="0.2">
      <c r="B42" s="123" t="s">
        <v>108</v>
      </c>
      <c r="C42" s="5" t="s">
        <v>109</v>
      </c>
      <c r="D42" s="14"/>
      <c r="E42" s="3"/>
      <c r="F42" s="3"/>
      <c r="G42" s="3"/>
      <c r="H42" s="3"/>
      <c r="I42" s="32"/>
      <c r="J42" s="3"/>
      <c r="K42" s="32"/>
      <c r="L42" s="32"/>
      <c r="M42" s="7"/>
      <c r="N42" s="3"/>
      <c r="O42" s="3"/>
      <c r="P42" s="3"/>
      <c r="Q42" s="3"/>
      <c r="R42" s="3"/>
      <c r="S42" s="32"/>
      <c r="V42" s="52"/>
    </row>
    <row r="43" spans="2:22" x14ac:dyDescent="0.2">
      <c r="B43" s="123"/>
      <c r="C43" s="216" t="s">
        <v>119</v>
      </c>
      <c r="D43" s="14">
        <v>71.400000000000006</v>
      </c>
      <c r="E43" s="14">
        <v>70</v>
      </c>
      <c r="F43" s="36">
        <v>7.7</v>
      </c>
      <c r="G43" s="36">
        <v>16.73</v>
      </c>
      <c r="H43" s="36">
        <v>0</v>
      </c>
      <c r="I43" s="36">
        <v>182.7</v>
      </c>
      <c r="J43" s="37">
        <v>154</v>
      </c>
      <c r="K43" s="36">
        <v>24.5</v>
      </c>
      <c r="L43" s="36">
        <v>14</v>
      </c>
      <c r="M43" s="36">
        <v>111.3</v>
      </c>
      <c r="N43" s="36">
        <v>1.26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22">
        <v>254.37</v>
      </c>
      <c r="U43" s="93">
        <v>18.162018</v>
      </c>
      <c r="V43" s="93">
        <v>18.16</v>
      </c>
    </row>
    <row r="44" spans="2:22" x14ac:dyDescent="0.2">
      <c r="B44" s="123"/>
      <c r="C44" s="216" t="s">
        <v>77</v>
      </c>
      <c r="D44" s="14"/>
      <c r="E44" s="14"/>
      <c r="F44" s="14">
        <v>7.7</v>
      </c>
      <c r="G44" s="14">
        <v>16.73</v>
      </c>
      <c r="H44" s="14">
        <v>0</v>
      </c>
      <c r="I44" s="14">
        <v>182.7</v>
      </c>
      <c r="J44" s="14">
        <v>154</v>
      </c>
      <c r="K44" s="14">
        <v>24.5</v>
      </c>
      <c r="L44" s="14">
        <v>14</v>
      </c>
      <c r="M44" s="14">
        <v>111.3</v>
      </c>
      <c r="N44" s="14">
        <v>1.26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U44" s="93">
        <v>18.162018</v>
      </c>
      <c r="V44" s="98">
        <v>18.16</v>
      </c>
    </row>
    <row r="45" spans="2:22" x14ac:dyDescent="0.2">
      <c r="B45" s="123" t="s">
        <v>98</v>
      </c>
      <c r="C45" s="18" t="s">
        <v>99</v>
      </c>
      <c r="D45" s="14"/>
      <c r="E45" s="14">
        <v>50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V45" s="98"/>
    </row>
    <row r="46" spans="2:22" x14ac:dyDescent="0.2">
      <c r="B46" s="123"/>
      <c r="C46" s="216" t="s">
        <v>100</v>
      </c>
      <c r="D46" s="14">
        <v>50</v>
      </c>
      <c r="E46" s="14">
        <v>50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3">
        <v>0</v>
      </c>
      <c r="U46" s="96">
        <v>0</v>
      </c>
      <c r="V46" s="98">
        <v>0</v>
      </c>
    </row>
    <row r="47" spans="2:22" ht="12.75" customHeight="1" x14ac:dyDescent="0.2">
      <c r="B47" s="123"/>
      <c r="C47" s="216" t="s">
        <v>34</v>
      </c>
      <c r="D47" s="20">
        <v>2.5</v>
      </c>
      <c r="E47" s="20">
        <v>2.5</v>
      </c>
      <c r="F47" s="14">
        <v>0</v>
      </c>
      <c r="G47" s="14">
        <v>2.5</v>
      </c>
      <c r="H47" s="14">
        <v>0</v>
      </c>
      <c r="I47" s="14">
        <v>22.4</v>
      </c>
      <c r="J47" s="15">
        <v>0</v>
      </c>
      <c r="K47" s="14">
        <v>0</v>
      </c>
      <c r="L47" s="14">
        <v>0</v>
      </c>
      <c r="M47" s="41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22">
        <v>83.43</v>
      </c>
      <c r="U47" s="93">
        <v>0.20857500000000001</v>
      </c>
      <c r="V47" s="98">
        <v>0.21</v>
      </c>
    </row>
    <row r="48" spans="2:22" s="26" customFormat="1" x14ac:dyDescent="0.2">
      <c r="B48" s="123"/>
      <c r="C48" s="216" t="s">
        <v>38</v>
      </c>
      <c r="D48" s="20">
        <v>2.5</v>
      </c>
      <c r="E48" s="20">
        <v>2.5</v>
      </c>
      <c r="F48" s="14">
        <v>0.3</v>
      </c>
      <c r="G48" s="14">
        <v>0</v>
      </c>
      <c r="H48" s="14">
        <v>1.7</v>
      </c>
      <c r="I48" s="14">
        <v>8.4</v>
      </c>
      <c r="J48" s="15">
        <v>4.4000000000000004</v>
      </c>
      <c r="K48" s="14">
        <v>0.6</v>
      </c>
      <c r="L48" s="14">
        <v>1.1000000000000001</v>
      </c>
      <c r="M48" s="16">
        <v>2.9</v>
      </c>
      <c r="N48" s="14">
        <v>0.05</v>
      </c>
      <c r="O48" s="14">
        <v>0</v>
      </c>
      <c r="P48" s="14">
        <v>0</v>
      </c>
      <c r="Q48" s="14">
        <v>0</v>
      </c>
      <c r="R48" s="14">
        <v>0.03</v>
      </c>
      <c r="S48" s="14">
        <v>0</v>
      </c>
      <c r="T48" s="22">
        <v>27.31</v>
      </c>
      <c r="U48" s="93">
        <v>6.8275000000000002E-2</v>
      </c>
      <c r="V48" s="98">
        <v>7.0000000000000007E-2</v>
      </c>
    </row>
    <row r="49" spans="2:22" s="26" customFormat="1" x14ac:dyDescent="0.2">
      <c r="B49" s="123"/>
      <c r="C49" s="216" t="s">
        <v>36</v>
      </c>
      <c r="D49" s="20">
        <v>2</v>
      </c>
      <c r="E49" s="20">
        <v>2</v>
      </c>
      <c r="F49" s="20">
        <v>0.1</v>
      </c>
      <c r="G49" s="20">
        <v>0</v>
      </c>
      <c r="H49" s="20">
        <v>0.4</v>
      </c>
      <c r="I49" s="20">
        <v>2</v>
      </c>
      <c r="J49" s="20">
        <v>17.5</v>
      </c>
      <c r="K49" s="217">
        <v>0.4</v>
      </c>
      <c r="L49" s="20">
        <v>1</v>
      </c>
      <c r="M49" s="217">
        <v>1.36</v>
      </c>
      <c r="N49" s="20">
        <v>0.05</v>
      </c>
      <c r="O49" s="20">
        <v>0</v>
      </c>
      <c r="P49" s="20">
        <v>0</v>
      </c>
      <c r="Q49" s="20">
        <v>0</v>
      </c>
      <c r="R49" s="20">
        <v>0.04</v>
      </c>
      <c r="S49" s="20">
        <v>0.9</v>
      </c>
      <c r="T49" s="22">
        <v>120</v>
      </c>
      <c r="U49" s="93">
        <v>0.24</v>
      </c>
      <c r="V49" s="98">
        <v>0.24</v>
      </c>
    </row>
    <row r="50" spans="2:22" s="26" customFormat="1" x14ac:dyDescent="0.2">
      <c r="B50" s="201"/>
      <c r="C50" s="155" t="s">
        <v>32</v>
      </c>
      <c r="D50" s="21">
        <v>5</v>
      </c>
      <c r="E50" s="21">
        <v>4</v>
      </c>
      <c r="F50" s="21">
        <v>0.06</v>
      </c>
      <c r="G50" s="21">
        <v>0</v>
      </c>
      <c r="H50" s="21">
        <v>0.28000000000000003</v>
      </c>
      <c r="I50" s="21">
        <v>1.4</v>
      </c>
      <c r="J50" s="21">
        <v>8</v>
      </c>
      <c r="K50" s="21">
        <v>1</v>
      </c>
      <c r="L50" s="21">
        <v>1.5</v>
      </c>
      <c r="M50" s="21">
        <v>2.2000000000000002</v>
      </c>
      <c r="N50" s="21">
        <v>0</v>
      </c>
      <c r="O50" s="21">
        <v>0</v>
      </c>
      <c r="P50" s="21">
        <v>0</v>
      </c>
      <c r="Q50" s="21">
        <v>0</v>
      </c>
      <c r="R50" s="21">
        <v>0.04</v>
      </c>
      <c r="S50" s="21">
        <v>0.2</v>
      </c>
      <c r="T50" s="22">
        <v>32.71</v>
      </c>
      <c r="U50" s="93">
        <v>0.16355</v>
      </c>
      <c r="V50" s="98">
        <v>0.16</v>
      </c>
    </row>
    <row r="51" spans="2:22" s="26" customFormat="1" x14ac:dyDescent="0.2">
      <c r="B51" s="218"/>
      <c r="C51" s="76" t="s">
        <v>33</v>
      </c>
      <c r="D51" s="72">
        <v>1.2</v>
      </c>
      <c r="E51" s="73">
        <v>1</v>
      </c>
      <c r="F51" s="29">
        <v>0.01</v>
      </c>
      <c r="G51" s="74">
        <v>0</v>
      </c>
      <c r="H51" s="74">
        <v>0.08</v>
      </c>
      <c r="I51" s="74">
        <v>0.41</v>
      </c>
      <c r="J51" s="75">
        <v>1.75</v>
      </c>
      <c r="K51" s="74">
        <v>0.31</v>
      </c>
      <c r="L51" s="74">
        <v>0.14000000000000001</v>
      </c>
      <c r="M51" s="75">
        <v>0.57999999999999996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0.1</v>
      </c>
      <c r="T51" s="26">
        <v>29.62</v>
      </c>
      <c r="U51" s="32">
        <v>3.5543999999999999E-2</v>
      </c>
      <c r="V51" s="219">
        <v>0.04</v>
      </c>
    </row>
    <row r="52" spans="2:22" s="26" customFormat="1" x14ac:dyDescent="0.2">
      <c r="B52" s="218"/>
      <c r="C52" s="30" t="s">
        <v>30</v>
      </c>
      <c r="D52" s="31">
        <v>0.75</v>
      </c>
      <c r="E52" s="31">
        <v>0.75</v>
      </c>
      <c r="F52" s="34">
        <v>0</v>
      </c>
      <c r="G52" s="34">
        <v>0</v>
      </c>
      <c r="H52" s="34">
        <v>0.7</v>
      </c>
      <c r="I52" s="34">
        <v>2.8</v>
      </c>
      <c r="J52" s="34">
        <v>0.02</v>
      </c>
      <c r="K52" s="34">
        <v>0.01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26">
        <v>50.97</v>
      </c>
      <c r="U52" s="96">
        <v>3.8227499999999998E-2</v>
      </c>
      <c r="V52" s="98">
        <v>0.04</v>
      </c>
    </row>
    <row r="53" spans="2:22" s="26" customFormat="1" x14ac:dyDescent="0.2">
      <c r="B53" s="218"/>
      <c r="C53" s="30" t="s">
        <v>46</v>
      </c>
      <c r="D53" s="31">
        <v>0.5</v>
      </c>
      <c r="E53" s="31">
        <v>0.5</v>
      </c>
      <c r="F53" s="31">
        <v>0</v>
      </c>
      <c r="G53" s="31">
        <v>0</v>
      </c>
      <c r="H53" s="31">
        <v>0</v>
      </c>
      <c r="I53" s="31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26">
        <v>11.63</v>
      </c>
      <c r="U53" s="96">
        <v>5.8149999999999999E-3</v>
      </c>
      <c r="V53" s="98">
        <v>0.01</v>
      </c>
    </row>
    <row r="54" spans="2:22" s="26" customFormat="1" x14ac:dyDescent="0.2">
      <c r="B54" s="218"/>
      <c r="C54" s="30" t="s">
        <v>39</v>
      </c>
      <c r="D54" s="31">
        <v>0.02</v>
      </c>
      <c r="E54" s="31">
        <v>0.02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26">
        <v>300</v>
      </c>
      <c r="U54" s="96">
        <v>6.0000000000000001E-3</v>
      </c>
      <c r="V54" s="98">
        <v>0.01</v>
      </c>
    </row>
    <row r="55" spans="2:22" s="26" customFormat="1" x14ac:dyDescent="0.2">
      <c r="B55" s="218"/>
      <c r="C55" s="28" t="s">
        <v>77</v>
      </c>
      <c r="D55" s="29"/>
      <c r="E55" s="29"/>
      <c r="F55" s="29">
        <v>0.47</v>
      </c>
      <c r="G55" s="29">
        <v>2.5</v>
      </c>
      <c r="H55" s="29">
        <v>3.16</v>
      </c>
      <c r="I55" s="29">
        <v>37.409999999999997</v>
      </c>
      <c r="J55" s="29">
        <v>31.67</v>
      </c>
      <c r="K55" s="29">
        <v>2.3199999999999998</v>
      </c>
      <c r="L55" s="29">
        <v>3.74</v>
      </c>
      <c r="M55" s="29">
        <v>7.04</v>
      </c>
      <c r="N55" s="29">
        <v>0.1</v>
      </c>
      <c r="O55" s="29">
        <v>0</v>
      </c>
      <c r="P55" s="29">
        <v>0</v>
      </c>
      <c r="Q55" s="29">
        <v>0</v>
      </c>
      <c r="R55" s="29">
        <v>0.11</v>
      </c>
      <c r="S55" s="29">
        <v>1.2</v>
      </c>
      <c r="U55" s="32">
        <v>0.76598650000000001</v>
      </c>
      <c r="V55" s="219">
        <v>0.77</v>
      </c>
    </row>
    <row r="56" spans="2:22" s="26" customFormat="1" ht="25.5" x14ac:dyDescent="0.2">
      <c r="B56" s="218" t="s">
        <v>70</v>
      </c>
      <c r="C56" s="28" t="s">
        <v>71</v>
      </c>
      <c r="D56" s="31"/>
      <c r="E56" s="31">
        <v>180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U56" s="96"/>
      <c r="V56" s="98"/>
    </row>
    <row r="57" spans="2:22" s="26" customFormat="1" x14ac:dyDescent="0.2">
      <c r="B57" s="218"/>
      <c r="C57" s="30" t="s">
        <v>72</v>
      </c>
      <c r="D57" s="31">
        <v>61</v>
      </c>
      <c r="E57" s="31">
        <v>61</v>
      </c>
      <c r="F57" s="31">
        <v>6.3</v>
      </c>
      <c r="G57" s="31">
        <v>0.67</v>
      </c>
      <c r="H57" s="31">
        <v>42.5</v>
      </c>
      <c r="I57" s="31">
        <v>205.57</v>
      </c>
      <c r="J57" s="31">
        <v>75.64</v>
      </c>
      <c r="K57" s="31">
        <v>10.98</v>
      </c>
      <c r="L57" s="31">
        <v>9.76</v>
      </c>
      <c r="M57" s="31">
        <v>53</v>
      </c>
      <c r="N57" s="31">
        <v>0.73</v>
      </c>
      <c r="O57" s="31">
        <v>0</v>
      </c>
      <c r="P57" s="31">
        <v>0.1</v>
      </c>
      <c r="Q57" s="31">
        <v>0.04</v>
      </c>
      <c r="R57" s="31">
        <v>0.74</v>
      </c>
      <c r="S57" s="31">
        <v>0</v>
      </c>
      <c r="T57" s="26">
        <v>44.89</v>
      </c>
      <c r="U57" s="96">
        <v>2.2444999999999999</v>
      </c>
      <c r="V57" s="98">
        <v>2.2400000000000002</v>
      </c>
    </row>
    <row r="58" spans="2:22" s="26" customFormat="1" x14ac:dyDescent="0.2">
      <c r="B58" s="218"/>
      <c r="C58" s="30" t="s">
        <v>46</v>
      </c>
      <c r="D58" s="31">
        <v>2</v>
      </c>
      <c r="E58" s="31">
        <v>2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26">
        <v>11.63</v>
      </c>
      <c r="U58" s="96">
        <v>1.8608E-2</v>
      </c>
      <c r="V58" s="98">
        <v>0.02</v>
      </c>
    </row>
    <row r="59" spans="2:22" s="26" customFormat="1" x14ac:dyDescent="0.2">
      <c r="B59" s="218"/>
      <c r="C59" s="30" t="s">
        <v>37</v>
      </c>
      <c r="D59" s="31">
        <v>6.3</v>
      </c>
      <c r="E59" s="31">
        <v>6.3</v>
      </c>
      <c r="F59" s="31">
        <v>4.24E-2</v>
      </c>
      <c r="G59" s="31">
        <v>3.8424999999999998</v>
      </c>
      <c r="H59" s="31">
        <v>6.8900000000000003E-2</v>
      </c>
      <c r="I59" s="31">
        <v>35.033000000000001</v>
      </c>
      <c r="J59" s="31">
        <v>1</v>
      </c>
      <c r="K59" s="31">
        <v>1.1659999999999999</v>
      </c>
      <c r="L59" s="31">
        <v>0.159</v>
      </c>
      <c r="M59" s="31">
        <v>1</v>
      </c>
      <c r="N59" s="31">
        <v>1.06E-2</v>
      </c>
      <c r="O59" s="31">
        <v>2.6499999999999999E-2</v>
      </c>
      <c r="P59" s="31">
        <v>0</v>
      </c>
      <c r="Q59" s="31">
        <v>0</v>
      </c>
      <c r="R59" s="31">
        <v>5.3E-3</v>
      </c>
      <c r="S59" s="31">
        <v>0</v>
      </c>
      <c r="T59" s="26">
        <v>337.78</v>
      </c>
      <c r="U59" s="96">
        <v>1.7902340000000001</v>
      </c>
      <c r="V59" s="98">
        <v>1.79</v>
      </c>
    </row>
    <row r="60" spans="2:22" s="26" customFormat="1" x14ac:dyDescent="0.2">
      <c r="B60" s="218"/>
      <c r="C60" s="76" t="s">
        <v>77</v>
      </c>
      <c r="D60" s="34"/>
      <c r="E60" s="34"/>
      <c r="F60" s="34">
        <v>6.3423999999999996</v>
      </c>
      <c r="G60" s="34">
        <v>4.5125000000000002</v>
      </c>
      <c r="H60" s="34">
        <v>42.568899999999999</v>
      </c>
      <c r="I60" s="34">
        <v>240.60300000000001</v>
      </c>
      <c r="J60" s="34">
        <v>76.858999999999995</v>
      </c>
      <c r="K60" s="34">
        <v>12.146000000000001</v>
      </c>
      <c r="L60" s="34">
        <v>9.9190000000000005</v>
      </c>
      <c r="M60" s="34">
        <v>54.006999999999998</v>
      </c>
      <c r="N60" s="34">
        <v>0.74060000000000004</v>
      </c>
      <c r="O60" s="34">
        <v>2.6499999999999999E-2</v>
      </c>
      <c r="P60" s="34">
        <v>0.1</v>
      </c>
      <c r="Q60" s="34">
        <v>4.0052999999999998E-2</v>
      </c>
      <c r="R60" s="34">
        <v>0.74529999999999996</v>
      </c>
      <c r="S60" s="34">
        <v>0</v>
      </c>
      <c r="U60" s="96">
        <v>4.0533419999999998</v>
      </c>
      <c r="V60" s="98">
        <v>4.05</v>
      </c>
    </row>
    <row r="61" spans="2:22" s="26" customFormat="1" x14ac:dyDescent="0.2">
      <c r="B61" s="123" t="s">
        <v>73</v>
      </c>
      <c r="C61" s="5" t="s">
        <v>74</v>
      </c>
      <c r="D61" s="313" t="s">
        <v>75</v>
      </c>
      <c r="E61" s="314"/>
      <c r="F61" s="4"/>
      <c r="G61" s="4"/>
      <c r="H61" s="4"/>
      <c r="I61" s="4"/>
      <c r="J61" s="11"/>
      <c r="K61" s="4"/>
      <c r="L61" s="4"/>
      <c r="M61" s="11"/>
      <c r="N61" s="4"/>
      <c r="O61" s="4"/>
      <c r="P61" s="4"/>
      <c r="Q61" s="4"/>
      <c r="R61" s="51"/>
      <c r="S61" s="4"/>
      <c r="T61" s="22"/>
      <c r="U61" s="93"/>
      <c r="V61" s="52"/>
    </row>
    <row r="62" spans="2:22" s="26" customFormat="1" x14ac:dyDescent="0.2">
      <c r="B62" s="123"/>
      <c r="C62" s="17" t="s">
        <v>40</v>
      </c>
      <c r="D62" s="200">
        <v>50</v>
      </c>
      <c r="E62" s="200">
        <v>50</v>
      </c>
      <c r="F62" s="14">
        <v>0.1</v>
      </c>
      <c r="G62" s="14">
        <v>0</v>
      </c>
      <c r="H62" s="14">
        <v>0</v>
      </c>
      <c r="I62" s="14">
        <v>0.8</v>
      </c>
      <c r="J62" s="16">
        <v>12.4</v>
      </c>
      <c r="K62" s="14">
        <v>2.5</v>
      </c>
      <c r="L62" s="14">
        <v>2.2000000000000002</v>
      </c>
      <c r="M62" s="16">
        <v>4.12</v>
      </c>
      <c r="N62" s="14">
        <v>0.4</v>
      </c>
      <c r="O62" s="14">
        <v>0</v>
      </c>
      <c r="P62" s="14">
        <v>0</v>
      </c>
      <c r="Q62" s="14">
        <v>0</v>
      </c>
      <c r="R62" s="204">
        <v>0</v>
      </c>
      <c r="S62" s="14">
        <v>0</v>
      </c>
      <c r="T62" s="22"/>
      <c r="U62" s="93">
        <v>412</v>
      </c>
      <c r="V62" s="52">
        <f>1*U62/1000</f>
        <v>0.41199999999999998</v>
      </c>
    </row>
    <row r="63" spans="2:22" s="67" customFormat="1" x14ac:dyDescent="0.2">
      <c r="B63" s="123"/>
      <c r="C63" s="17" t="s">
        <v>30</v>
      </c>
      <c r="D63" s="200">
        <v>15</v>
      </c>
      <c r="E63" s="200">
        <v>15</v>
      </c>
      <c r="F63" s="14">
        <v>0</v>
      </c>
      <c r="G63" s="14">
        <v>0</v>
      </c>
      <c r="H63" s="14">
        <v>15</v>
      </c>
      <c r="I63" s="14">
        <v>56.9</v>
      </c>
      <c r="J63" s="16">
        <v>0.5</v>
      </c>
      <c r="K63" s="14">
        <v>0.4</v>
      </c>
      <c r="L63" s="14">
        <v>0</v>
      </c>
      <c r="M63" s="16">
        <v>0</v>
      </c>
      <c r="N63" s="14">
        <v>0</v>
      </c>
      <c r="O63" s="14">
        <v>0</v>
      </c>
      <c r="P63" s="14">
        <v>0</v>
      </c>
      <c r="Q63" s="14">
        <v>0</v>
      </c>
      <c r="R63" s="204">
        <v>0</v>
      </c>
      <c r="S63" s="14">
        <v>0</v>
      </c>
      <c r="T63" s="22"/>
      <c r="U63" s="93">
        <v>35.159999999999997</v>
      </c>
      <c r="V63" s="52">
        <f t="shared" ref="V63:V64" si="4">D63*U63/1000</f>
        <v>0.52739999999999998</v>
      </c>
    </row>
    <row r="64" spans="2:22" x14ac:dyDescent="0.2">
      <c r="B64" s="123"/>
      <c r="C64" s="17" t="s">
        <v>35</v>
      </c>
      <c r="D64" s="200">
        <v>150</v>
      </c>
      <c r="E64" s="200">
        <v>150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204">
        <v>0</v>
      </c>
      <c r="S64" s="14">
        <v>0</v>
      </c>
      <c r="U64" s="93">
        <v>0</v>
      </c>
      <c r="V64" s="52">
        <f t="shared" si="4"/>
        <v>0</v>
      </c>
    </row>
    <row r="65" spans="2:22" x14ac:dyDescent="0.2">
      <c r="B65" s="123"/>
      <c r="C65" s="39" t="s">
        <v>47</v>
      </c>
      <c r="D65" s="196"/>
      <c r="E65" s="196"/>
      <c r="F65" s="3">
        <f t="shared" ref="F65:S65" si="5">SUM(F62:F64)</f>
        <v>0.1</v>
      </c>
      <c r="G65" s="3">
        <f t="shared" si="5"/>
        <v>0</v>
      </c>
      <c r="H65" s="3">
        <f t="shared" si="5"/>
        <v>15</v>
      </c>
      <c r="I65" s="3">
        <f t="shared" si="5"/>
        <v>57.699999999999996</v>
      </c>
      <c r="J65" s="3">
        <f t="shared" si="5"/>
        <v>12.9</v>
      </c>
      <c r="K65" s="3">
        <f t="shared" si="5"/>
        <v>2.9</v>
      </c>
      <c r="L65" s="3">
        <f t="shared" si="5"/>
        <v>2.2000000000000002</v>
      </c>
      <c r="M65" s="3">
        <f t="shared" si="5"/>
        <v>4.12</v>
      </c>
      <c r="N65" s="3">
        <f t="shared" si="5"/>
        <v>0.4</v>
      </c>
      <c r="O65" s="3">
        <f t="shared" si="5"/>
        <v>0</v>
      </c>
      <c r="P65" s="3">
        <f t="shared" si="5"/>
        <v>0</v>
      </c>
      <c r="Q65" s="3">
        <f t="shared" si="5"/>
        <v>0</v>
      </c>
      <c r="R65" s="50">
        <f t="shared" si="5"/>
        <v>0</v>
      </c>
      <c r="S65" s="3">
        <f t="shared" si="5"/>
        <v>0</v>
      </c>
      <c r="T65" s="3"/>
      <c r="U65" s="32"/>
      <c r="V65" s="21">
        <f>SUM(V62:V64)</f>
        <v>0.93940000000000001</v>
      </c>
    </row>
    <row r="66" spans="2:22" ht="25.5" x14ac:dyDescent="0.2">
      <c r="B66" s="123" t="s">
        <v>24</v>
      </c>
      <c r="C66" s="5" t="s">
        <v>105</v>
      </c>
      <c r="D66" s="3">
        <v>30</v>
      </c>
      <c r="E66" s="3">
        <v>30</v>
      </c>
      <c r="F66" s="14">
        <f>7.7*E66/100</f>
        <v>2.31</v>
      </c>
      <c r="G66" s="14">
        <f>3*E66/100</f>
        <v>0.9</v>
      </c>
      <c r="H66" s="14">
        <f>49.8*E66/100</f>
        <v>14.94</v>
      </c>
      <c r="I66" s="14">
        <f>262*E66/100</f>
        <v>78.599999999999994</v>
      </c>
      <c r="J66" s="16">
        <f>127*E66/100</f>
        <v>38.1</v>
      </c>
      <c r="K66" s="14">
        <f>26*E66/100</f>
        <v>7.8</v>
      </c>
      <c r="L66" s="14">
        <f>35*E66/100</f>
        <v>10.5</v>
      </c>
      <c r="M66" s="16">
        <f>83*E66/100</f>
        <v>24.9</v>
      </c>
      <c r="N66" s="14">
        <f>1.6*E66/100</f>
        <v>0.48</v>
      </c>
      <c r="O66" s="14">
        <f>0</f>
        <v>0</v>
      </c>
      <c r="P66" s="14">
        <f>0.16*E66/100</f>
        <v>4.8000000000000001E-2</v>
      </c>
      <c r="Q66" s="14">
        <f>0.08*E66/100</f>
        <v>2.4E-2</v>
      </c>
      <c r="R66" s="14">
        <f>1.54*E66/100</f>
        <v>0.46200000000000002</v>
      </c>
      <c r="S66" s="14">
        <v>0</v>
      </c>
      <c r="T66" s="3"/>
      <c r="U66" s="32">
        <v>29.292000000000002</v>
      </c>
      <c r="V66" s="52">
        <f>E66*U66/1000</f>
        <v>0.87875999999999999</v>
      </c>
    </row>
    <row r="67" spans="2:22" x14ac:dyDescent="0.2">
      <c r="B67" s="123" t="s">
        <v>24</v>
      </c>
      <c r="C67" s="5" t="s">
        <v>106</v>
      </c>
      <c r="D67" s="3">
        <v>20</v>
      </c>
      <c r="E67" s="3">
        <v>20</v>
      </c>
      <c r="F67" s="14">
        <f>6.6*E67/100</f>
        <v>1.32</v>
      </c>
      <c r="G67" s="14">
        <f>1.2*E67/100</f>
        <v>0.24</v>
      </c>
      <c r="H67" s="14">
        <f>34.2*E67/100</f>
        <v>6.84</v>
      </c>
      <c r="I67" s="14">
        <f>181*E67/100</f>
        <v>36.200000000000003</v>
      </c>
      <c r="J67" s="14">
        <f>94*E67/100</f>
        <v>18.8</v>
      </c>
      <c r="K67" s="14">
        <f>34*E67/100</f>
        <v>6.8</v>
      </c>
      <c r="L67" s="14">
        <f>41*E67/100</f>
        <v>8.1999999999999993</v>
      </c>
      <c r="M67" s="14">
        <f>120*E67/100</f>
        <v>24</v>
      </c>
      <c r="N67" s="14">
        <f>2.3*E67/100</f>
        <v>0.46</v>
      </c>
      <c r="O67" s="14">
        <v>0</v>
      </c>
      <c r="P67" s="14">
        <f>0.11*E67/100</f>
        <v>2.2000000000000002E-2</v>
      </c>
      <c r="Q67" s="14">
        <f>0.08*E67/100</f>
        <v>1.6E-2</v>
      </c>
      <c r="R67" s="14">
        <f>0.64*E67/100</f>
        <v>0.128</v>
      </c>
      <c r="S67" s="14">
        <v>0</v>
      </c>
      <c r="T67" s="3"/>
      <c r="U67" s="32">
        <v>35.9</v>
      </c>
      <c r="V67" s="52">
        <f>E67*U67/1000</f>
        <v>0.71799999999999997</v>
      </c>
    </row>
    <row r="68" spans="2:22" x14ac:dyDescent="0.2">
      <c r="B68" s="220"/>
      <c r="C68" s="42" t="s">
        <v>25</v>
      </c>
      <c r="D68" s="42"/>
      <c r="E68" s="42"/>
      <c r="F68" s="42">
        <v>31.488</v>
      </c>
      <c r="G68" s="42">
        <v>43.9</v>
      </c>
      <c r="H68" s="42">
        <v>109.75</v>
      </c>
      <c r="I68" s="42">
        <v>857.39</v>
      </c>
      <c r="J68" s="42">
        <v>816.41300000000001</v>
      </c>
      <c r="K68" s="42">
        <v>86.533000000000001</v>
      </c>
      <c r="L68" s="42">
        <v>91.602999999999994</v>
      </c>
      <c r="M68" s="42">
        <v>305.20400000000001</v>
      </c>
      <c r="N68" s="42">
        <v>11.24</v>
      </c>
      <c r="O68" s="42">
        <v>6</v>
      </c>
      <c r="P68" s="42">
        <v>6.2279999999999998</v>
      </c>
      <c r="Q68" s="42">
        <v>6.2279999999999998</v>
      </c>
      <c r="R68" s="42">
        <v>11.16</v>
      </c>
      <c r="S68" s="42">
        <v>29.55</v>
      </c>
      <c r="T68" s="42" t="e">
        <f>T41+T50+#REF!+#REF!+T67+T66+6+T65</f>
        <v>#REF!</v>
      </c>
      <c r="U68" s="153">
        <v>36.11</v>
      </c>
      <c r="V68" s="221">
        <v>36.11</v>
      </c>
    </row>
    <row r="69" spans="2:22" x14ac:dyDescent="0.2">
      <c r="B69" s="123"/>
      <c r="C69" s="196" t="s">
        <v>50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204"/>
      <c r="S69" s="14"/>
      <c r="T69" s="14"/>
      <c r="V69" s="52"/>
    </row>
    <row r="70" spans="2:22" x14ac:dyDescent="0.2">
      <c r="B70" s="123"/>
      <c r="C70" s="222" t="s">
        <v>1</v>
      </c>
      <c r="D70" s="200"/>
      <c r="E70" s="6"/>
      <c r="F70" s="4"/>
      <c r="G70" s="4"/>
      <c r="H70" s="4"/>
      <c r="I70" s="4"/>
      <c r="J70" s="10"/>
      <c r="K70" s="4"/>
      <c r="L70" s="4"/>
      <c r="M70" s="11"/>
      <c r="N70" s="4"/>
      <c r="O70" s="4"/>
      <c r="P70" s="4"/>
      <c r="Q70" s="4"/>
      <c r="R70" s="4"/>
      <c r="S70" s="4"/>
      <c r="V70" s="52"/>
    </row>
    <row r="71" spans="2:22" ht="25.5" x14ac:dyDescent="0.2">
      <c r="B71" s="123" t="s">
        <v>101</v>
      </c>
      <c r="C71" s="5" t="s">
        <v>102</v>
      </c>
      <c r="D71" s="22"/>
      <c r="E71" s="3">
        <v>250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223"/>
      <c r="V71" s="22"/>
    </row>
    <row r="72" spans="2:22" x14ac:dyDescent="0.2">
      <c r="B72" s="123"/>
      <c r="C72" s="17" t="s">
        <v>31</v>
      </c>
      <c r="D72" s="22">
        <v>100</v>
      </c>
      <c r="E72" s="22">
        <v>75</v>
      </c>
      <c r="F72" s="22">
        <v>1.5</v>
      </c>
      <c r="G72" s="22">
        <v>0.3</v>
      </c>
      <c r="H72" s="22">
        <v>12.22</v>
      </c>
      <c r="I72" s="22">
        <v>57.75</v>
      </c>
      <c r="J72" s="22">
        <v>426</v>
      </c>
      <c r="K72" s="22">
        <v>7.5</v>
      </c>
      <c r="L72" s="22">
        <v>17.25</v>
      </c>
      <c r="M72" s="22">
        <v>43.5</v>
      </c>
      <c r="N72" s="22">
        <v>0.68</v>
      </c>
      <c r="O72" s="22">
        <v>0</v>
      </c>
      <c r="P72" s="22">
        <v>0.09</v>
      </c>
      <c r="Q72" s="22">
        <v>0.05</v>
      </c>
      <c r="R72" s="22">
        <v>0.98</v>
      </c>
      <c r="S72" s="22">
        <v>15</v>
      </c>
      <c r="T72" s="223"/>
      <c r="U72" s="93">
        <v>35.76</v>
      </c>
      <c r="V72" s="22">
        <f>D72*U72/1000</f>
        <v>3.5760000000000001</v>
      </c>
    </row>
    <row r="73" spans="2:22" ht="25.5" x14ac:dyDescent="0.2">
      <c r="B73" s="123"/>
      <c r="C73" s="17" t="s">
        <v>103</v>
      </c>
      <c r="D73" s="22">
        <v>10</v>
      </c>
      <c r="E73" s="22">
        <v>10</v>
      </c>
      <c r="F73" s="22">
        <v>1</v>
      </c>
      <c r="G73" s="22">
        <v>0.1</v>
      </c>
      <c r="H73" s="22">
        <v>6.97</v>
      </c>
      <c r="I73" s="22">
        <v>33.700000000000003</v>
      </c>
      <c r="J73" s="22">
        <v>12.4</v>
      </c>
      <c r="K73" s="22">
        <v>1.8</v>
      </c>
      <c r="L73" s="22">
        <v>1.6</v>
      </c>
      <c r="M73" s="22">
        <v>8.6999999999999993</v>
      </c>
      <c r="N73" s="22">
        <v>0.12</v>
      </c>
      <c r="O73" s="22">
        <v>0</v>
      </c>
      <c r="P73" s="22">
        <v>0</v>
      </c>
      <c r="Q73" s="22">
        <v>0</v>
      </c>
      <c r="R73" s="22">
        <v>0.121</v>
      </c>
      <c r="S73" s="22">
        <v>0</v>
      </c>
      <c r="T73" s="223"/>
      <c r="U73" s="93">
        <v>39.74</v>
      </c>
      <c r="V73" s="22">
        <f t="shared" ref="V73:V78" si="6">D73*U73/1000</f>
        <v>0.39740000000000003</v>
      </c>
    </row>
    <row r="74" spans="2:22" x14ac:dyDescent="0.2">
      <c r="B74" s="123"/>
      <c r="C74" s="17" t="s">
        <v>33</v>
      </c>
      <c r="D74" s="22">
        <v>12</v>
      </c>
      <c r="E74" s="22">
        <v>10</v>
      </c>
      <c r="F74" s="22">
        <v>0.14000000000000001</v>
      </c>
      <c r="G74" s="22">
        <v>0</v>
      </c>
      <c r="H74" s="22">
        <v>0.82</v>
      </c>
      <c r="I74" s="22">
        <v>4.0999999999999996</v>
      </c>
      <c r="J74" s="22">
        <v>17.5</v>
      </c>
      <c r="K74" s="22">
        <v>3.1</v>
      </c>
      <c r="L74" s="22">
        <v>1.4</v>
      </c>
      <c r="M74" s="22">
        <v>5.8</v>
      </c>
      <c r="N74" s="22">
        <v>0.08</v>
      </c>
      <c r="O74" s="22">
        <v>0</v>
      </c>
      <c r="P74" s="22">
        <v>0</v>
      </c>
      <c r="Q74" s="22">
        <v>0</v>
      </c>
      <c r="R74" s="22">
        <v>0</v>
      </c>
      <c r="S74" s="22">
        <v>1</v>
      </c>
      <c r="T74" s="223"/>
      <c r="U74" s="93">
        <v>34.229999999999997</v>
      </c>
      <c r="V74" s="22">
        <f t="shared" si="6"/>
        <v>0.41076000000000001</v>
      </c>
    </row>
    <row r="75" spans="2:22" x14ac:dyDescent="0.2">
      <c r="B75" s="123"/>
      <c r="C75" s="17" t="s">
        <v>32</v>
      </c>
      <c r="D75" s="22">
        <v>12.5</v>
      </c>
      <c r="E75" s="22">
        <v>10</v>
      </c>
      <c r="F75" s="22">
        <v>0.13</v>
      </c>
      <c r="G75" s="22">
        <v>0</v>
      </c>
      <c r="H75" s="22">
        <v>0.69</v>
      </c>
      <c r="I75" s="22">
        <v>3.5</v>
      </c>
      <c r="J75" s="22">
        <v>20</v>
      </c>
      <c r="K75" s="22">
        <v>2.7</v>
      </c>
      <c r="L75" s="22">
        <v>3.8</v>
      </c>
      <c r="M75" s="22">
        <v>5.5</v>
      </c>
      <c r="N75" s="22">
        <v>7.0000000000000007E-2</v>
      </c>
      <c r="O75" s="22">
        <v>0</v>
      </c>
      <c r="P75" s="22">
        <v>0</v>
      </c>
      <c r="Q75" s="22">
        <v>0</v>
      </c>
      <c r="R75" s="22">
        <v>0.1</v>
      </c>
      <c r="S75" s="22">
        <v>0.5</v>
      </c>
      <c r="T75" s="223"/>
      <c r="U75" s="93">
        <v>34.6</v>
      </c>
      <c r="V75" s="22">
        <f t="shared" si="6"/>
        <v>0.4325</v>
      </c>
    </row>
    <row r="76" spans="2:22" ht="25.5" x14ac:dyDescent="0.2">
      <c r="B76" s="123"/>
      <c r="C76" s="17" t="s">
        <v>34</v>
      </c>
      <c r="D76" s="22">
        <v>2.5</v>
      </c>
      <c r="E76" s="22">
        <v>2.5</v>
      </c>
      <c r="F76" s="22">
        <v>0</v>
      </c>
      <c r="G76" s="22">
        <v>2.5</v>
      </c>
      <c r="H76" s="22">
        <v>0</v>
      </c>
      <c r="I76" s="22">
        <v>22.5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3"/>
      <c r="U76" s="93">
        <v>70.400000000000006</v>
      </c>
      <c r="V76" s="22">
        <f t="shared" si="6"/>
        <v>0.17599999999999999</v>
      </c>
    </row>
    <row r="77" spans="2:22" x14ac:dyDescent="0.2">
      <c r="B77" s="123"/>
      <c r="C77" s="17" t="s">
        <v>46</v>
      </c>
      <c r="D77" s="22">
        <v>2.5</v>
      </c>
      <c r="E77" s="22">
        <v>2.5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3"/>
      <c r="U77" s="93">
        <v>11.13</v>
      </c>
      <c r="V77" s="22">
        <f t="shared" si="6"/>
        <v>2.7825000000000003E-2</v>
      </c>
    </row>
    <row r="78" spans="2:22" x14ac:dyDescent="0.2">
      <c r="B78" s="123"/>
      <c r="C78" s="17" t="s">
        <v>35</v>
      </c>
      <c r="D78" s="22">
        <v>175</v>
      </c>
      <c r="E78" s="22">
        <v>175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3"/>
      <c r="U78" s="93">
        <v>0</v>
      </c>
      <c r="V78" s="22">
        <f t="shared" si="6"/>
        <v>0</v>
      </c>
    </row>
    <row r="79" spans="2:22" x14ac:dyDescent="0.2">
      <c r="B79" s="123"/>
      <c r="C79" s="3" t="s">
        <v>77</v>
      </c>
      <c r="D79" s="3"/>
      <c r="E79" s="3"/>
      <c r="F79" s="3">
        <f>SUM(F72:F78)</f>
        <v>2.77</v>
      </c>
      <c r="G79" s="3">
        <f t="shared" ref="G79:T79" si="7">SUM(G72:G78)</f>
        <v>2.9</v>
      </c>
      <c r="H79" s="3">
        <f t="shared" si="7"/>
        <v>20.700000000000003</v>
      </c>
      <c r="I79" s="3">
        <f t="shared" si="7"/>
        <v>121.55</v>
      </c>
      <c r="J79" s="3">
        <f t="shared" si="7"/>
        <v>475.9</v>
      </c>
      <c r="K79" s="3">
        <f t="shared" si="7"/>
        <v>15.100000000000001</v>
      </c>
      <c r="L79" s="3">
        <f t="shared" si="7"/>
        <v>24.05</v>
      </c>
      <c r="M79" s="3">
        <f t="shared" si="7"/>
        <v>63.5</v>
      </c>
      <c r="N79" s="3">
        <f t="shared" si="7"/>
        <v>0.95</v>
      </c>
      <c r="O79" s="3">
        <f t="shared" si="7"/>
        <v>0</v>
      </c>
      <c r="P79" s="3">
        <f t="shared" si="7"/>
        <v>0.09</v>
      </c>
      <c r="Q79" s="3">
        <f t="shared" si="7"/>
        <v>0.05</v>
      </c>
      <c r="R79" s="3">
        <f t="shared" si="7"/>
        <v>1.2010000000000001</v>
      </c>
      <c r="S79" s="3">
        <f t="shared" si="7"/>
        <v>16.5</v>
      </c>
      <c r="T79" s="50">
        <f t="shared" si="7"/>
        <v>0</v>
      </c>
      <c r="U79" s="32"/>
      <c r="V79" s="22">
        <f>SUM(V72:V78)</f>
        <v>5.0204850000000008</v>
      </c>
    </row>
    <row r="80" spans="2:22" ht="25.5" x14ac:dyDescent="0.2">
      <c r="B80" s="123" t="s">
        <v>130</v>
      </c>
      <c r="C80" s="5" t="s">
        <v>131</v>
      </c>
      <c r="D80" s="3"/>
      <c r="E80" s="3" t="s">
        <v>151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50"/>
      <c r="S80" s="3"/>
      <c r="T80" s="3"/>
      <c r="U80" s="32"/>
      <c r="V80" s="21"/>
    </row>
    <row r="81" spans="2:22" x14ac:dyDescent="0.2">
      <c r="B81" s="69"/>
      <c r="C81" s="69" t="s">
        <v>152</v>
      </c>
      <c r="D81" s="14">
        <v>246</v>
      </c>
      <c r="E81" s="14">
        <v>124</v>
      </c>
      <c r="F81" s="14">
        <v>19</v>
      </c>
      <c r="G81" s="14">
        <v>2.214</v>
      </c>
      <c r="H81" s="14">
        <v>0</v>
      </c>
      <c r="I81" s="14">
        <v>177.12</v>
      </c>
      <c r="J81" s="14">
        <v>1033.2</v>
      </c>
      <c r="K81" s="14">
        <v>98.4</v>
      </c>
      <c r="L81" s="14">
        <v>135.30000000000001</v>
      </c>
      <c r="M81" s="16">
        <v>590.4</v>
      </c>
      <c r="N81" s="14">
        <v>1.968</v>
      </c>
      <c r="O81" s="14">
        <v>2.46E-2</v>
      </c>
      <c r="P81" s="14">
        <v>0.27060000000000001</v>
      </c>
      <c r="Q81" s="14">
        <v>0.27060000000000001</v>
      </c>
      <c r="R81" s="14">
        <v>3.198</v>
      </c>
      <c r="S81" s="14">
        <v>1.23</v>
      </c>
      <c r="T81" s="3">
        <v>87.81</v>
      </c>
      <c r="U81" s="32">
        <v>21.60126</v>
      </c>
      <c r="V81" s="21"/>
    </row>
    <row r="82" spans="2:22" s="26" customFormat="1" x14ac:dyDescent="0.2">
      <c r="B82" s="69"/>
      <c r="C82" s="224" t="s">
        <v>35</v>
      </c>
      <c r="D82" s="225">
        <v>38</v>
      </c>
      <c r="E82" s="225">
        <v>38</v>
      </c>
      <c r="F82" s="36">
        <v>0</v>
      </c>
      <c r="G82" s="36">
        <v>0</v>
      </c>
      <c r="H82" s="226">
        <v>0</v>
      </c>
      <c r="I82" s="36">
        <v>0</v>
      </c>
      <c r="J82" s="37">
        <v>0</v>
      </c>
      <c r="K82" s="37">
        <v>0</v>
      </c>
      <c r="L82" s="36">
        <v>0</v>
      </c>
      <c r="M82" s="37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69">
        <v>0</v>
      </c>
      <c r="U82" s="96">
        <v>0</v>
      </c>
      <c r="V82" s="84"/>
    </row>
    <row r="83" spans="2:22" s="26" customFormat="1" x14ac:dyDescent="0.2">
      <c r="B83" s="69"/>
      <c r="C83" s="224" t="s">
        <v>32</v>
      </c>
      <c r="D83" s="225">
        <v>43.2</v>
      </c>
      <c r="E83" s="225">
        <v>33.6</v>
      </c>
      <c r="F83" s="14">
        <v>0.4</v>
      </c>
      <c r="G83" s="14">
        <v>0</v>
      </c>
      <c r="H83" s="14">
        <v>2.2999999999999998</v>
      </c>
      <c r="I83" s="14">
        <v>11.8</v>
      </c>
      <c r="J83" s="16">
        <v>63</v>
      </c>
      <c r="K83" s="14">
        <v>16</v>
      </c>
      <c r="L83" s="14">
        <v>12</v>
      </c>
      <c r="M83" s="16">
        <v>17.3</v>
      </c>
      <c r="N83" s="14">
        <v>0.4</v>
      </c>
      <c r="O83" s="14">
        <v>2.8</v>
      </c>
      <c r="P83" s="14">
        <v>0.02</v>
      </c>
      <c r="Q83" s="14">
        <v>0.02</v>
      </c>
      <c r="R83" s="14">
        <v>0.3</v>
      </c>
      <c r="S83" s="14">
        <v>1.6</v>
      </c>
      <c r="T83" s="69">
        <v>34.6</v>
      </c>
      <c r="U83" s="96">
        <v>1.8684000000000001</v>
      </c>
      <c r="V83" s="84"/>
    </row>
    <row r="84" spans="2:22" s="26" customFormat="1" x14ac:dyDescent="0.2">
      <c r="B84" s="69"/>
      <c r="C84" s="224" t="s">
        <v>33</v>
      </c>
      <c r="D84" s="225">
        <v>19.2</v>
      </c>
      <c r="E84" s="225">
        <v>14.4</v>
      </c>
      <c r="F84" s="14">
        <v>0.2</v>
      </c>
      <c r="G84" s="14">
        <v>0</v>
      </c>
      <c r="H84" s="14">
        <v>1.2</v>
      </c>
      <c r="I84" s="14">
        <v>5.9</v>
      </c>
      <c r="J84" s="14">
        <v>23.6</v>
      </c>
      <c r="K84" s="14">
        <v>4.2</v>
      </c>
      <c r="L84" s="14">
        <v>1.9</v>
      </c>
      <c r="M84" s="14">
        <v>7.8</v>
      </c>
      <c r="N84" s="14">
        <v>0.1</v>
      </c>
      <c r="O84" s="14">
        <v>0</v>
      </c>
      <c r="P84" s="14">
        <v>0</v>
      </c>
      <c r="Q84" s="14">
        <v>0</v>
      </c>
      <c r="R84" s="14">
        <v>0.03</v>
      </c>
      <c r="S84" s="14">
        <v>1.35</v>
      </c>
      <c r="T84" s="69">
        <v>34.229999999999997</v>
      </c>
      <c r="U84" s="96">
        <v>0.82152000000000003</v>
      </c>
      <c r="V84" s="84"/>
    </row>
    <row r="85" spans="2:22" s="26" customFormat="1" x14ac:dyDescent="0.2">
      <c r="B85" s="69"/>
      <c r="C85" s="224" t="s">
        <v>36</v>
      </c>
      <c r="D85" s="225">
        <v>6.4</v>
      </c>
      <c r="E85" s="225">
        <v>6.4</v>
      </c>
      <c r="F85" s="14">
        <v>0.3</v>
      </c>
      <c r="G85" s="14">
        <v>0</v>
      </c>
      <c r="H85" s="14">
        <v>1.2</v>
      </c>
      <c r="I85" s="14">
        <v>6.5</v>
      </c>
      <c r="J85" s="14">
        <v>52.7</v>
      </c>
      <c r="K85" s="14">
        <v>4.7</v>
      </c>
      <c r="L85" s="14">
        <v>1.8</v>
      </c>
      <c r="M85" s="14">
        <v>4</v>
      </c>
      <c r="N85" s="14">
        <v>0.14000000000000001</v>
      </c>
      <c r="O85" s="14">
        <v>0.12</v>
      </c>
      <c r="P85" s="14">
        <v>0</v>
      </c>
      <c r="Q85" s="14">
        <v>0</v>
      </c>
      <c r="R85" s="14">
        <v>0.05</v>
      </c>
      <c r="S85" s="14">
        <v>2.7</v>
      </c>
      <c r="T85" s="69">
        <v>176.53</v>
      </c>
      <c r="U85" s="96">
        <v>1.4122399999999999</v>
      </c>
      <c r="V85" s="84"/>
    </row>
    <row r="86" spans="2:22" s="26" customFormat="1" x14ac:dyDescent="0.2">
      <c r="B86" s="69"/>
      <c r="C86" s="227" t="s">
        <v>34</v>
      </c>
      <c r="D86" s="225">
        <v>8</v>
      </c>
      <c r="E86" s="225">
        <v>8</v>
      </c>
      <c r="F86" s="14">
        <v>0</v>
      </c>
      <c r="G86" s="14">
        <v>8</v>
      </c>
      <c r="H86" s="14">
        <v>0</v>
      </c>
      <c r="I86" s="14">
        <v>72</v>
      </c>
      <c r="J86" s="15">
        <v>0</v>
      </c>
      <c r="K86" s="14">
        <v>0</v>
      </c>
      <c r="L86" s="14">
        <v>0</v>
      </c>
      <c r="M86" s="16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69">
        <v>70.400000000000006</v>
      </c>
      <c r="U86" s="96">
        <v>0.70399999999999996</v>
      </c>
      <c r="V86" s="84"/>
    </row>
    <row r="87" spans="2:22" s="26" customFormat="1" x14ac:dyDescent="0.2">
      <c r="B87" s="69"/>
      <c r="C87" s="227" t="s">
        <v>30</v>
      </c>
      <c r="D87" s="225">
        <v>3.2</v>
      </c>
      <c r="E87" s="225">
        <v>3.2</v>
      </c>
      <c r="F87" s="14">
        <v>0</v>
      </c>
      <c r="G87" s="14">
        <v>0</v>
      </c>
      <c r="H87" s="14">
        <v>3.1</v>
      </c>
      <c r="I87" s="14">
        <v>12.1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69">
        <v>35.159999999999997</v>
      </c>
      <c r="U87" s="96">
        <v>0.14063999999999999</v>
      </c>
      <c r="V87" s="84"/>
    </row>
    <row r="88" spans="2:22" ht="30.75" customHeight="1" x14ac:dyDescent="0.2">
      <c r="B88" s="69"/>
      <c r="C88" s="227" t="s">
        <v>46</v>
      </c>
      <c r="D88" s="225">
        <v>2</v>
      </c>
      <c r="E88" s="225">
        <v>2</v>
      </c>
      <c r="F88" s="14">
        <v>0</v>
      </c>
      <c r="G88" s="14">
        <v>0</v>
      </c>
      <c r="H88" s="14">
        <v>0</v>
      </c>
      <c r="I88" s="14">
        <v>0</v>
      </c>
      <c r="J88" s="15">
        <v>0</v>
      </c>
      <c r="K88" s="14">
        <v>0</v>
      </c>
      <c r="L88" s="14">
        <v>0</v>
      </c>
      <c r="M88" s="41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69">
        <v>11.13</v>
      </c>
      <c r="U88" s="96">
        <v>2.4486000000000001E-2</v>
      </c>
      <c r="V88" s="84"/>
    </row>
    <row r="89" spans="2:22" x14ac:dyDescent="0.2">
      <c r="B89" s="69"/>
      <c r="C89" s="227" t="s">
        <v>39</v>
      </c>
      <c r="D89" s="228">
        <v>0.01</v>
      </c>
      <c r="E89" s="228">
        <v>0.01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69">
        <v>300</v>
      </c>
      <c r="U89" s="96">
        <v>6.0000000000000001E-3</v>
      </c>
      <c r="V89" s="21"/>
    </row>
    <row r="90" spans="2:22" x14ac:dyDescent="0.2">
      <c r="B90" s="123"/>
      <c r="C90" s="6" t="s">
        <v>47</v>
      </c>
      <c r="D90" s="197"/>
      <c r="E90" s="198"/>
      <c r="F90" s="3">
        <v>19.899999999999999</v>
      </c>
      <c r="G90" s="3">
        <v>10.214</v>
      </c>
      <c r="H90" s="3">
        <v>7.8</v>
      </c>
      <c r="I90" s="3">
        <v>285.42</v>
      </c>
      <c r="J90" s="3">
        <v>1172.5</v>
      </c>
      <c r="K90" s="32">
        <v>123.3</v>
      </c>
      <c r="L90" s="7">
        <v>151</v>
      </c>
      <c r="M90" s="7">
        <v>619.5</v>
      </c>
      <c r="N90" s="3">
        <v>2.6080000000000001</v>
      </c>
      <c r="O90" s="3">
        <v>2.9445999999999999</v>
      </c>
      <c r="P90" s="3">
        <v>0.29060000000000002</v>
      </c>
      <c r="Q90" s="3">
        <v>0.29060000000000002</v>
      </c>
      <c r="R90" s="3">
        <v>3.5779999999999998</v>
      </c>
      <c r="S90" s="32">
        <v>6.88</v>
      </c>
      <c r="U90" s="93">
        <v>26.578545999999999</v>
      </c>
      <c r="V90" s="52"/>
    </row>
    <row r="91" spans="2:22" x14ac:dyDescent="0.2">
      <c r="B91" s="123" t="s">
        <v>57</v>
      </c>
      <c r="C91" s="6" t="s">
        <v>58</v>
      </c>
      <c r="D91" s="20">
        <v>180</v>
      </c>
      <c r="E91" s="20"/>
      <c r="F91" s="20"/>
      <c r="G91" s="20"/>
      <c r="H91" s="20"/>
      <c r="I91" s="20"/>
      <c r="J91" s="20"/>
      <c r="K91" s="217"/>
      <c r="L91" s="20"/>
      <c r="M91" s="217"/>
      <c r="N91" s="20"/>
      <c r="O91" s="20"/>
      <c r="P91" s="20"/>
      <c r="Q91" s="20"/>
      <c r="R91" s="20"/>
      <c r="S91" s="20"/>
      <c r="V91" s="52"/>
    </row>
    <row r="92" spans="2:22" x14ac:dyDescent="0.2">
      <c r="B92" s="123"/>
      <c r="C92" s="188" t="s">
        <v>31</v>
      </c>
      <c r="D92" s="20">
        <v>205</v>
      </c>
      <c r="E92" s="20">
        <v>154</v>
      </c>
      <c r="F92" s="14">
        <v>3.08</v>
      </c>
      <c r="G92" s="14">
        <v>0.6</v>
      </c>
      <c r="H92" s="15">
        <v>25.1</v>
      </c>
      <c r="I92" s="14">
        <v>118.6</v>
      </c>
      <c r="J92" s="229">
        <v>874.72</v>
      </c>
      <c r="K92" s="14">
        <v>15.4</v>
      </c>
      <c r="L92" s="14">
        <v>35.42</v>
      </c>
      <c r="M92" s="14">
        <v>89.3</v>
      </c>
      <c r="N92" s="14">
        <v>1.39</v>
      </c>
      <c r="O92" s="14">
        <v>0</v>
      </c>
      <c r="P92" s="14">
        <v>0.19</v>
      </c>
      <c r="Q92" s="14">
        <v>0.1</v>
      </c>
      <c r="R92" s="14">
        <v>2</v>
      </c>
      <c r="S92" s="14">
        <v>30.8</v>
      </c>
      <c r="T92" s="22">
        <v>35.76</v>
      </c>
      <c r="U92" s="93">
        <v>7.3308</v>
      </c>
      <c r="V92" s="52"/>
    </row>
    <row r="93" spans="2:22" s="26" customFormat="1" x14ac:dyDescent="0.2">
      <c r="B93" s="123"/>
      <c r="C93" s="188" t="s">
        <v>37</v>
      </c>
      <c r="D93" s="20">
        <v>6</v>
      </c>
      <c r="E93" s="20">
        <v>6</v>
      </c>
      <c r="F93" s="20">
        <v>0.13</v>
      </c>
      <c r="G93" s="20">
        <v>5.14</v>
      </c>
      <c r="H93" s="20">
        <v>0</v>
      </c>
      <c r="I93" s="20">
        <v>39.659999999999997</v>
      </c>
      <c r="J93" s="20">
        <v>1.38</v>
      </c>
      <c r="K93" s="217">
        <v>1.37</v>
      </c>
      <c r="L93" s="20">
        <v>0.18</v>
      </c>
      <c r="M93" s="217">
        <v>1.1399999999999999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2">
        <v>300.63</v>
      </c>
      <c r="U93" s="93">
        <v>1.8037799999999999</v>
      </c>
      <c r="V93" s="52"/>
    </row>
    <row r="94" spans="2:22" x14ac:dyDescent="0.2">
      <c r="B94" s="123"/>
      <c r="C94" s="188" t="s">
        <v>29</v>
      </c>
      <c r="D94" s="20">
        <v>28.4</v>
      </c>
      <c r="E94" s="20">
        <v>27</v>
      </c>
      <c r="F94" s="14">
        <v>0.78</v>
      </c>
      <c r="G94" s="14">
        <v>0.9</v>
      </c>
      <c r="H94" s="14">
        <v>1.32</v>
      </c>
      <c r="I94" s="14">
        <v>16.239999999999998</v>
      </c>
      <c r="J94" s="14">
        <v>40.880000000000003</v>
      </c>
      <c r="K94" s="14">
        <v>33.6</v>
      </c>
      <c r="L94" s="14">
        <v>3.92</v>
      </c>
      <c r="M94" s="14">
        <v>25.2</v>
      </c>
      <c r="N94" s="14">
        <v>0.03</v>
      </c>
      <c r="O94" s="14">
        <v>0</v>
      </c>
      <c r="P94" s="14">
        <v>0</v>
      </c>
      <c r="Q94" s="14">
        <v>0</v>
      </c>
      <c r="R94" s="14">
        <v>0</v>
      </c>
      <c r="S94" s="14">
        <v>0.36</v>
      </c>
      <c r="T94" s="22">
        <v>36.83</v>
      </c>
      <c r="U94" s="93">
        <v>1.0459719999999999</v>
      </c>
      <c r="V94" s="52"/>
    </row>
    <row r="95" spans="2:22" x14ac:dyDescent="0.2">
      <c r="B95" s="123"/>
      <c r="C95" s="65" t="s">
        <v>46</v>
      </c>
      <c r="D95" s="3">
        <v>2</v>
      </c>
      <c r="E95" s="3">
        <v>2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22">
        <v>11.13</v>
      </c>
      <c r="U95" s="93">
        <v>2.2259999999999999E-2</v>
      </c>
      <c r="V95" s="21"/>
    </row>
    <row r="96" spans="2:22" x14ac:dyDescent="0.2">
      <c r="B96" s="123"/>
      <c r="C96" s="65" t="s">
        <v>47</v>
      </c>
      <c r="D96" s="3"/>
      <c r="E96" s="3"/>
      <c r="F96" s="3">
        <v>3.99</v>
      </c>
      <c r="G96" s="14">
        <v>6.64</v>
      </c>
      <c r="H96" s="14">
        <v>26.5</v>
      </c>
      <c r="I96" s="14">
        <v>174.5</v>
      </c>
      <c r="J96" s="14">
        <v>916.98</v>
      </c>
      <c r="K96" s="14">
        <v>50.37</v>
      </c>
      <c r="L96" s="14">
        <v>39.520000000000003</v>
      </c>
      <c r="M96" s="14">
        <v>115.66</v>
      </c>
      <c r="N96" s="14">
        <v>1.42</v>
      </c>
      <c r="O96" s="14">
        <v>0</v>
      </c>
      <c r="P96" s="14">
        <v>0.19</v>
      </c>
      <c r="Q96" s="14">
        <v>0.1</v>
      </c>
      <c r="R96" s="14">
        <v>2</v>
      </c>
      <c r="S96" s="14">
        <v>31.16</v>
      </c>
      <c r="U96" s="93">
        <v>10.202812</v>
      </c>
      <c r="V96" s="52"/>
    </row>
    <row r="97" spans="2:22" x14ac:dyDescent="0.2">
      <c r="B97" s="123" t="s">
        <v>134</v>
      </c>
      <c r="C97" s="5" t="s">
        <v>135</v>
      </c>
      <c r="D97" s="14"/>
      <c r="E97" s="14">
        <v>200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V97" s="52"/>
    </row>
    <row r="98" spans="2:22" x14ac:dyDescent="0.2">
      <c r="B98" s="123"/>
      <c r="C98" s="17" t="s">
        <v>136</v>
      </c>
      <c r="D98" s="14">
        <v>20</v>
      </c>
      <c r="E98" s="14">
        <v>50</v>
      </c>
      <c r="F98" s="14">
        <v>0</v>
      </c>
      <c r="G98" s="14">
        <v>0</v>
      </c>
      <c r="H98" s="14">
        <v>0</v>
      </c>
      <c r="I98" s="14">
        <v>28.2</v>
      </c>
      <c r="J98" s="14">
        <v>0</v>
      </c>
      <c r="K98" s="14">
        <v>0.2</v>
      </c>
      <c r="L98" s="14">
        <v>0</v>
      </c>
      <c r="M98" s="14">
        <v>0</v>
      </c>
      <c r="N98" s="14">
        <v>0.03</v>
      </c>
      <c r="O98" s="14">
        <v>0</v>
      </c>
      <c r="P98" s="14">
        <v>0</v>
      </c>
      <c r="Q98" s="14">
        <v>0</v>
      </c>
      <c r="R98" s="14">
        <v>0</v>
      </c>
      <c r="S98" s="14">
        <v>0.04</v>
      </c>
      <c r="T98" s="22">
        <v>60</v>
      </c>
      <c r="U98" s="93">
        <v>1.2</v>
      </c>
      <c r="V98" s="52"/>
    </row>
    <row r="99" spans="2:22" x14ac:dyDescent="0.2">
      <c r="B99" s="123"/>
      <c r="C99" s="17" t="s">
        <v>30</v>
      </c>
      <c r="D99" s="14">
        <v>20</v>
      </c>
      <c r="E99" s="14">
        <v>20</v>
      </c>
      <c r="F99" s="14">
        <v>0</v>
      </c>
      <c r="G99" s="14">
        <v>0</v>
      </c>
      <c r="H99" s="14">
        <v>19.98</v>
      </c>
      <c r="I99" s="14">
        <v>75.8</v>
      </c>
      <c r="J99" s="14">
        <v>0.6</v>
      </c>
      <c r="K99" s="14">
        <v>0.2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22">
        <v>35.159999999999997</v>
      </c>
      <c r="U99" s="93">
        <v>0.70320000000000005</v>
      </c>
      <c r="V99" s="52"/>
    </row>
    <row r="100" spans="2:22" s="26" customFormat="1" x14ac:dyDescent="0.2">
      <c r="B100" s="123"/>
      <c r="C100" s="17" t="s">
        <v>35</v>
      </c>
      <c r="D100" s="14">
        <v>200</v>
      </c>
      <c r="E100" s="14">
        <v>200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22">
        <v>0</v>
      </c>
      <c r="U100" s="93">
        <v>0</v>
      </c>
      <c r="V100" s="52"/>
    </row>
    <row r="101" spans="2:22" x14ac:dyDescent="0.2">
      <c r="B101" s="123"/>
      <c r="C101" s="17" t="s">
        <v>137</v>
      </c>
      <c r="D101" s="14">
        <v>0.2</v>
      </c>
      <c r="E101" s="14">
        <v>0.2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0.2</v>
      </c>
      <c r="T101" s="22">
        <v>300</v>
      </c>
      <c r="U101" s="93">
        <v>0.06</v>
      </c>
      <c r="V101" s="52"/>
    </row>
    <row r="102" spans="2:22" s="26" customFormat="1" x14ac:dyDescent="0.2">
      <c r="B102" s="125"/>
      <c r="C102" s="28" t="s">
        <v>47</v>
      </c>
      <c r="D102" s="29"/>
      <c r="E102" s="29"/>
      <c r="F102" s="29">
        <v>0</v>
      </c>
      <c r="G102" s="29">
        <v>0</v>
      </c>
      <c r="H102" s="29">
        <v>19.98</v>
      </c>
      <c r="I102" s="29">
        <v>104</v>
      </c>
      <c r="J102" s="29">
        <v>0.6</v>
      </c>
      <c r="K102" s="29">
        <v>0.4</v>
      </c>
      <c r="L102" s="29">
        <v>0</v>
      </c>
      <c r="M102" s="29">
        <v>0</v>
      </c>
      <c r="N102" s="29">
        <v>0.03</v>
      </c>
      <c r="O102" s="29">
        <v>0</v>
      </c>
      <c r="P102" s="29">
        <v>0</v>
      </c>
      <c r="Q102" s="29">
        <v>0</v>
      </c>
      <c r="R102" s="29">
        <v>0</v>
      </c>
      <c r="S102" s="29">
        <v>0.24</v>
      </c>
      <c r="T102" s="3"/>
      <c r="U102" s="32">
        <v>1.9632000000000001</v>
      </c>
      <c r="V102" s="21"/>
    </row>
    <row r="103" spans="2:22" ht="25.5" x14ac:dyDescent="0.2">
      <c r="B103" s="123" t="s">
        <v>24</v>
      </c>
      <c r="C103" s="5" t="s">
        <v>105</v>
      </c>
      <c r="D103" s="3">
        <v>30</v>
      </c>
      <c r="E103" s="3">
        <v>30</v>
      </c>
      <c r="F103" s="14">
        <v>1.54</v>
      </c>
      <c r="G103" s="14">
        <v>0.6</v>
      </c>
      <c r="H103" s="14">
        <v>9.9600000000000009</v>
      </c>
      <c r="I103" s="14">
        <v>52.4</v>
      </c>
      <c r="J103" s="16">
        <v>25.4</v>
      </c>
      <c r="K103" s="14">
        <v>5.2</v>
      </c>
      <c r="L103" s="14">
        <v>7</v>
      </c>
      <c r="M103" s="16">
        <v>16.600000000000001</v>
      </c>
      <c r="N103" s="14">
        <v>0.32</v>
      </c>
      <c r="O103" s="14">
        <v>0</v>
      </c>
      <c r="P103" s="14">
        <v>3.2000000000000001E-2</v>
      </c>
      <c r="Q103" s="14">
        <v>1.6E-2</v>
      </c>
      <c r="R103" s="14">
        <v>0.308</v>
      </c>
      <c r="S103" s="14">
        <v>0</v>
      </c>
      <c r="T103" s="3">
        <v>29.29</v>
      </c>
      <c r="U103" s="32">
        <v>0.58584000000000003</v>
      </c>
      <c r="V103" s="52"/>
    </row>
    <row r="104" spans="2:22" x14ac:dyDescent="0.2">
      <c r="B104" s="123" t="s">
        <v>24</v>
      </c>
      <c r="C104" s="5" t="s">
        <v>106</v>
      </c>
      <c r="D104" s="3">
        <v>20</v>
      </c>
      <c r="E104" s="3">
        <v>20</v>
      </c>
      <c r="F104" s="14">
        <v>1.32</v>
      </c>
      <c r="G104" s="14">
        <v>0.24</v>
      </c>
      <c r="H104" s="14">
        <v>6.84</v>
      </c>
      <c r="I104" s="14">
        <v>36.200000000000003</v>
      </c>
      <c r="J104" s="14">
        <v>18.8</v>
      </c>
      <c r="K104" s="14">
        <v>6.8</v>
      </c>
      <c r="L104" s="14">
        <v>8.1999999999999993</v>
      </c>
      <c r="M104" s="14">
        <v>24</v>
      </c>
      <c r="N104" s="14">
        <v>0.46</v>
      </c>
      <c r="O104" s="14">
        <v>0</v>
      </c>
      <c r="P104" s="14">
        <v>2.1999999999999999E-2</v>
      </c>
      <c r="Q104" s="14">
        <v>1.6E-2</v>
      </c>
      <c r="R104" s="14">
        <v>0.128</v>
      </c>
      <c r="S104" s="14">
        <v>0</v>
      </c>
      <c r="T104" s="3">
        <v>35.9</v>
      </c>
      <c r="U104" s="32">
        <v>0.71799999999999997</v>
      </c>
      <c r="V104" s="52"/>
    </row>
    <row r="105" spans="2:22" s="26" customFormat="1" x14ac:dyDescent="0.2">
      <c r="B105" s="123"/>
      <c r="C105" s="5" t="s">
        <v>25</v>
      </c>
      <c r="D105" s="14"/>
      <c r="E105" s="14"/>
      <c r="F105" s="14">
        <v>34.262</v>
      </c>
      <c r="G105" s="14">
        <v>35.08</v>
      </c>
      <c r="H105" s="14">
        <v>88.918000000000006</v>
      </c>
      <c r="I105" s="14">
        <v>752.24</v>
      </c>
      <c r="J105" s="14">
        <v>2162.94</v>
      </c>
      <c r="K105" s="14">
        <v>163.91</v>
      </c>
      <c r="L105" s="14">
        <v>197.96</v>
      </c>
      <c r="M105" s="14">
        <v>555.9</v>
      </c>
      <c r="N105" s="14">
        <v>4.3360000000000003</v>
      </c>
      <c r="O105" s="14">
        <v>0.1042</v>
      </c>
      <c r="P105" s="14">
        <v>0.42259999999999998</v>
      </c>
      <c r="Q105" s="14">
        <v>0.29959999999999998</v>
      </c>
      <c r="R105" s="204">
        <v>5.8756000000000004</v>
      </c>
      <c r="S105" s="14">
        <v>51.12</v>
      </c>
      <c r="T105" s="22"/>
      <c r="U105" s="32">
        <v>36.445878</v>
      </c>
      <c r="V105" s="32">
        <v>36.445878</v>
      </c>
    </row>
    <row r="106" spans="2:22" s="26" customFormat="1" x14ac:dyDescent="0.2">
      <c r="B106" s="123"/>
      <c r="C106" s="196" t="s">
        <v>53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3"/>
      <c r="S106" s="22"/>
      <c r="T106" s="22"/>
      <c r="U106" s="93"/>
      <c r="V106" s="52"/>
    </row>
    <row r="107" spans="2:22" s="26" customFormat="1" x14ac:dyDescent="0.2">
      <c r="B107" s="123"/>
      <c r="C107" s="196" t="s">
        <v>1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3"/>
      <c r="S107" s="22"/>
      <c r="T107" s="22"/>
      <c r="U107" s="93"/>
      <c r="V107" s="52"/>
    </row>
    <row r="108" spans="2:22" ht="25.5" x14ac:dyDescent="0.2">
      <c r="B108" s="123" t="s">
        <v>153</v>
      </c>
      <c r="C108" s="40" t="s">
        <v>96</v>
      </c>
      <c r="D108" s="22"/>
      <c r="E108" s="3">
        <v>250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V108" s="52"/>
    </row>
    <row r="109" spans="2:22" s="26" customFormat="1" x14ac:dyDescent="0.2">
      <c r="B109" s="123"/>
      <c r="C109" s="23" t="s">
        <v>31</v>
      </c>
      <c r="D109" s="22">
        <v>150</v>
      </c>
      <c r="E109" s="22">
        <v>112.5</v>
      </c>
      <c r="F109" s="22">
        <v>2.14</v>
      </c>
      <c r="G109" s="22">
        <v>0.43</v>
      </c>
      <c r="H109" s="22">
        <v>17.440000000000001</v>
      </c>
      <c r="I109" s="22">
        <v>82.4</v>
      </c>
      <c r="J109" s="22">
        <v>607.79999999999995</v>
      </c>
      <c r="K109" s="22">
        <v>10.7</v>
      </c>
      <c r="L109" s="22">
        <v>24.61</v>
      </c>
      <c r="M109" s="22">
        <v>62.06</v>
      </c>
      <c r="N109" s="22">
        <v>0.96</v>
      </c>
      <c r="O109" s="22">
        <v>0</v>
      </c>
      <c r="P109" s="22">
        <v>0.13</v>
      </c>
      <c r="Q109" s="22">
        <v>0.08</v>
      </c>
      <c r="R109" s="22">
        <v>1.4</v>
      </c>
      <c r="S109" s="22">
        <v>21.4</v>
      </c>
      <c r="T109" s="22">
        <v>35.76</v>
      </c>
      <c r="U109" s="93">
        <v>5.3639999999999999</v>
      </c>
      <c r="V109" s="93">
        <v>5.3639999999999999</v>
      </c>
    </row>
    <row r="110" spans="2:22" s="26" customFormat="1" x14ac:dyDescent="0.2">
      <c r="B110" s="123"/>
      <c r="C110" s="23" t="s">
        <v>32</v>
      </c>
      <c r="D110" s="22">
        <v>12.5</v>
      </c>
      <c r="E110" s="22">
        <v>10</v>
      </c>
      <c r="F110" s="22">
        <v>0.13</v>
      </c>
      <c r="G110" s="22">
        <v>0</v>
      </c>
      <c r="H110" s="22">
        <v>0.69</v>
      </c>
      <c r="I110" s="22">
        <v>3.5</v>
      </c>
      <c r="J110" s="22">
        <v>20</v>
      </c>
      <c r="K110" s="22">
        <v>2.7</v>
      </c>
      <c r="L110" s="22">
        <v>3.8</v>
      </c>
      <c r="M110" s="22">
        <v>5.5</v>
      </c>
      <c r="N110" s="22">
        <v>0</v>
      </c>
      <c r="O110" s="22">
        <v>0</v>
      </c>
      <c r="P110" s="22">
        <v>0</v>
      </c>
      <c r="Q110" s="22">
        <v>0</v>
      </c>
      <c r="R110" s="22">
        <v>0.1</v>
      </c>
      <c r="S110" s="22">
        <v>0.5</v>
      </c>
      <c r="T110" s="22">
        <v>34.6</v>
      </c>
      <c r="U110" s="93">
        <v>0.4325</v>
      </c>
      <c r="V110" s="93">
        <v>0.4325</v>
      </c>
    </row>
    <row r="111" spans="2:22" s="26" customFormat="1" x14ac:dyDescent="0.2">
      <c r="B111" s="123"/>
      <c r="C111" s="23" t="s">
        <v>33</v>
      </c>
      <c r="D111" s="22">
        <v>12</v>
      </c>
      <c r="E111" s="22">
        <v>10</v>
      </c>
      <c r="F111" s="22">
        <v>0.14000000000000001</v>
      </c>
      <c r="G111" s="22">
        <v>0</v>
      </c>
      <c r="H111" s="22">
        <v>0.82</v>
      </c>
      <c r="I111" s="22">
        <v>4.0999999999999996</v>
      </c>
      <c r="J111" s="15">
        <v>17.5</v>
      </c>
      <c r="K111" s="14">
        <v>3.1</v>
      </c>
      <c r="L111" s="14">
        <v>1.4</v>
      </c>
      <c r="M111" s="16">
        <v>5.8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1</v>
      </c>
      <c r="T111" s="22">
        <v>34.229999999999997</v>
      </c>
      <c r="U111" s="93">
        <v>0.41076000000000001</v>
      </c>
      <c r="V111" s="93">
        <v>0.41076000000000001</v>
      </c>
    </row>
    <row r="112" spans="2:22" s="26" customFormat="1" ht="25.5" x14ac:dyDescent="0.2">
      <c r="B112" s="123"/>
      <c r="C112" s="23" t="s">
        <v>34</v>
      </c>
      <c r="D112" s="22">
        <v>2.5</v>
      </c>
      <c r="E112" s="22">
        <v>2.5</v>
      </c>
      <c r="F112" s="22">
        <v>0</v>
      </c>
      <c r="G112" s="22">
        <v>2.4</v>
      </c>
      <c r="H112" s="22">
        <v>0</v>
      </c>
      <c r="I112" s="22">
        <v>21.58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70.400000000000006</v>
      </c>
      <c r="U112" s="93">
        <v>0.17599999999999999</v>
      </c>
      <c r="V112" s="93">
        <v>0.17599999999999999</v>
      </c>
    </row>
    <row r="113" spans="2:22" s="26" customFormat="1" x14ac:dyDescent="0.2">
      <c r="B113" s="123"/>
      <c r="C113" s="23" t="s">
        <v>35</v>
      </c>
      <c r="D113" s="22">
        <v>175</v>
      </c>
      <c r="E113" s="22">
        <v>175</v>
      </c>
      <c r="F113" s="22">
        <v>0</v>
      </c>
      <c r="G113" s="22">
        <v>0</v>
      </c>
      <c r="H113" s="22">
        <v>0</v>
      </c>
      <c r="I113" s="22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22">
        <v>0</v>
      </c>
      <c r="U113" s="93">
        <v>0</v>
      </c>
      <c r="V113" s="93">
        <v>0</v>
      </c>
    </row>
    <row r="114" spans="2:22" s="26" customFormat="1" x14ac:dyDescent="0.2">
      <c r="B114" s="123"/>
      <c r="C114" s="23" t="s">
        <v>46</v>
      </c>
      <c r="D114" s="22">
        <v>2</v>
      </c>
      <c r="E114" s="22">
        <v>2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11.13</v>
      </c>
      <c r="U114" s="93">
        <v>2.2259999999999999E-2</v>
      </c>
      <c r="V114" s="93">
        <v>2.2259999999999999E-2</v>
      </c>
    </row>
    <row r="115" spans="2:22" s="26" customFormat="1" ht="25.5" x14ac:dyDescent="0.2">
      <c r="B115" s="123"/>
      <c r="C115" s="23" t="s">
        <v>97</v>
      </c>
      <c r="D115" s="22">
        <v>13</v>
      </c>
      <c r="E115" s="22">
        <v>12.5</v>
      </c>
      <c r="F115" s="22">
        <v>0.36</v>
      </c>
      <c r="G115" s="22">
        <v>0.73</v>
      </c>
      <c r="H115" s="22">
        <v>0</v>
      </c>
      <c r="I115" s="22">
        <v>17</v>
      </c>
      <c r="J115" s="22">
        <v>32.5</v>
      </c>
      <c r="K115" s="22">
        <v>23.13</v>
      </c>
      <c r="L115" s="22">
        <v>7</v>
      </c>
      <c r="M115" s="22">
        <v>28.75</v>
      </c>
      <c r="N115" s="22">
        <v>0</v>
      </c>
      <c r="O115" s="22">
        <v>0</v>
      </c>
      <c r="P115" s="22">
        <v>0</v>
      </c>
      <c r="Q115" s="22">
        <v>0</v>
      </c>
      <c r="R115" s="22">
        <v>0.6</v>
      </c>
      <c r="S115" s="22">
        <v>0</v>
      </c>
      <c r="T115" s="22">
        <v>71.5</v>
      </c>
      <c r="U115" s="93">
        <v>0.92949999999999999</v>
      </c>
      <c r="V115" s="93">
        <v>0.92949999999999999</v>
      </c>
    </row>
    <row r="116" spans="2:22" s="26" customFormat="1" x14ac:dyDescent="0.2">
      <c r="B116" s="123"/>
      <c r="C116" s="23" t="s">
        <v>47</v>
      </c>
      <c r="D116" s="22"/>
      <c r="E116" s="22"/>
      <c r="F116" s="22">
        <v>2.77</v>
      </c>
      <c r="G116" s="22">
        <v>3.56</v>
      </c>
      <c r="H116" s="22">
        <v>18.95</v>
      </c>
      <c r="I116" s="22">
        <v>128.58000000000001</v>
      </c>
      <c r="J116" s="22">
        <v>677.8</v>
      </c>
      <c r="K116" s="22">
        <v>39.630000000000003</v>
      </c>
      <c r="L116" s="22">
        <v>36.81</v>
      </c>
      <c r="M116" s="22">
        <v>102.11</v>
      </c>
      <c r="N116" s="22">
        <v>0.96</v>
      </c>
      <c r="O116" s="22">
        <v>0</v>
      </c>
      <c r="P116" s="22">
        <v>0.13</v>
      </c>
      <c r="Q116" s="22">
        <v>0.08</v>
      </c>
      <c r="R116" s="22">
        <v>2.1</v>
      </c>
      <c r="S116" s="22">
        <v>22.9</v>
      </c>
      <c r="T116" s="22"/>
      <c r="U116" s="93">
        <v>7.3350200000000001</v>
      </c>
      <c r="V116" s="93">
        <v>7.3350200000000001</v>
      </c>
    </row>
    <row r="117" spans="2:22" s="26" customFormat="1" x14ac:dyDescent="0.2">
      <c r="B117" s="123" t="s">
        <v>154</v>
      </c>
      <c r="C117" s="40" t="s">
        <v>155</v>
      </c>
      <c r="D117" s="22"/>
      <c r="E117" s="22">
        <v>100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93"/>
      <c r="V117" s="93"/>
    </row>
    <row r="118" spans="2:22" s="26" customFormat="1" x14ac:dyDescent="0.2">
      <c r="B118" s="123"/>
      <c r="C118" s="39" t="s">
        <v>156</v>
      </c>
      <c r="D118" s="3">
        <v>198</v>
      </c>
      <c r="E118" s="3">
        <v>142</v>
      </c>
      <c r="F118" s="3">
        <v>26.553999999999998</v>
      </c>
      <c r="G118" s="3">
        <v>22.861999999999998</v>
      </c>
      <c r="H118" s="3">
        <v>0</v>
      </c>
      <c r="I118" s="3">
        <v>312.39999999999998</v>
      </c>
      <c r="J118" s="3">
        <v>335.1</v>
      </c>
      <c r="K118" s="3">
        <v>19.88</v>
      </c>
      <c r="L118" s="3">
        <v>26.98</v>
      </c>
      <c r="M118" s="3">
        <v>227.2</v>
      </c>
      <c r="N118" s="3">
        <v>1.8460000000000001</v>
      </c>
      <c r="O118" s="3">
        <v>5.6800000000000003E-2</v>
      </c>
      <c r="P118" s="3">
        <v>0.1278</v>
      </c>
      <c r="Q118" s="3">
        <v>0.21299999999999999</v>
      </c>
      <c r="R118" s="3">
        <v>8.6620000000000008</v>
      </c>
      <c r="S118" s="3">
        <v>2.84</v>
      </c>
      <c r="T118" s="3">
        <v>110.79</v>
      </c>
      <c r="U118" s="32">
        <v>21.936419999999998</v>
      </c>
      <c r="V118" s="32">
        <v>21.936419999999998</v>
      </c>
    </row>
    <row r="119" spans="2:22" ht="12.75" customHeight="1" x14ac:dyDescent="0.2">
      <c r="B119" s="230"/>
      <c r="C119" s="30" t="s">
        <v>157</v>
      </c>
      <c r="D119" s="31">
        <v>0.03</v>
      </c>
      <c r="E119" s="29">
        <v>0.03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69">
        <v>300</v>
      </c>
      <c r="U119" s="94">
        <v>8.9999999999999993E-3</v>
      </c>
      <c r="V119" s="94">
        <v>8.9999999999999993E-3</v>
      </c>
    </row>
    <row r="120" spans="2:22" s="231" customFormat="1" x14ac:dyDescent="0.2">
      <c r="B120" s="230"/>
      <c r="C120" s="78" t="s">
        <v>46</v>
      </c>
      <c r="D120" s="34">
        <v>3</v>
      </c>
      <c r="E120" s="34">
        <v>3</v>
      </c>
      <c r="F120" s="36">
        <v>0</v>
      </c>
      <c r="G120" s="36">
        <v>0</v>
      </c>
      <c r="H120" s="36">
        <v>0</v>
      </c>
      <c r="I120" s="36">
        <v>0</v>
      </c>
      <c r="J120" s="37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69">
        <v>11.13</v>
      </c>
      <c r="U120" s="92">
        <v>3.3390000000000003E-2</v>
      </c>
      <c r="V120" s="92">
        <v>3.3390000000000003E-2</v>
      </c>
    </row>
    <row r="121" spans="2:22" x14ac:dyDescent="0.2">
      <c r="B121" s="125"/>
      <c r="C121" s="78" t="s">
        <v>78</v>
      </c>
      <c r="D121" s="34">
        <v>4</v>
      </c>
      <c r="E121" s="34">
        <v>4</v>
      </c>
      <c r="F121" s="14">
        <v>0</v>
      </c>
      <c r="G121" s="14">
        <v>3.996</v>
      </c>
      <c r="H121" s="14">
        <v>0</v>
      </c>
      <c r="I121" s="14">
        <v>35.96</v>
      </c>
      <c r="J121" s="16">
        <v>0</v>
      </c>
      <c r="K121" s="14">
        <v>0</v>
      </c>
      <c r="L121" s="14">
        <v>0</v>
      </c>
      <c r="M121" s="16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69">
        <v>70.400000000000006</v>
      </c>
      <c r="U121" s="92">
        <v>0.28160000000000002</v>
      </c>
      <c r="V121" s="92">
        <v>0.28160000000000002</v>
      </c>
    </row>
    <row r="122" spans="2:22" x14ac:dyDescent="0.2">
      <c r="B122" s="125"/>
      <c r="C122" s="78" t="s">
        <v>77</v>
      </c>
      <c r="D122" s="34"/>
      <c r="E122" s="34"/>
      <c r="F122" s="34">
        <v>26.553999999999998</v>
      </c>
      <c r="G122" s="34">
        <v>26.858000000000001</v>
      </c>
      <c r="H122" s="34">
        <v>0</v>
      </c>
      <c r="I122" s="34">
        <v>348.36</v>
      </c>
      <c r="J122" s="34">
        <v>335.12</v>
      </c>
      <c r="K122" s="34">
        <v>19.88</v>
      </c>
      <c r="L122" s="34">
        <v>26.98</v>
      </c>
      <c r="M122" s="34">
        <v>227.2</v>
      </c>
      <c r="N122" s="34">
        <v>1.8460000000000001</v>
      </c>
      <c r="O122" s="34">
        <v>5.6800000000000003E-2</v>
      </c>
      <c r="P122" s="34">
        <v>0.1278</v>
      </c>
      <c r="Q122" s="34">
        <v>0.21299999999999999</v>
      </c>
      <c r="R122" s="34">
        <v>8.6620000000000008</v>
      </c>
      <c r="S122" s="34">
        <v>2.84</v>
      </c>
      <c r="T122" s="69"/>
      <c r="U122" s="92">
        <v>22.26041</v>
      </c>
      <c r="V122" s="92">
        <v>22.26041</v>
      </c>
    </row>
    <row r="123" spans="2:22" x14ac:dyDescent="0.2">
      <c r="B123" s="123" t="s">
        <v>98</v>
      </c>
      <c r="C123" s="18" t="s">
        <v>99</v>
      </c>
      <c r="D123" s="14"/>
      <c r="E123" s="14">
        <v>50</v>
      </c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V123" s="98"/>
    </row>
    <row r="124" spans="2:22" x14ac:dyDescent="0.2">
      <c r="B124" s="123"/>
      <c r="C124" s="216" t="s">
        <v>100</v>
      </c>
      <c r="D124" s="14">
        <v>50</v>
      </c>
      <c r="E124" s="14">
        <v>50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3">
        <v>0</v>
      </c>
      <c r="U124" s="96">
        <v>0</v>
      </c>
      <c r="V124" s="98">
        <v>0</v>
      </c>
    </row>
    <row r="125" spans="2:22" ht="25.5" x14ac:dyDescent="0.2">
      <c r="B125" s="123"/>
      <c r="C125" s="216" t="s">
        <v>34</v>
      </c>
      <c r="D125" s="20">
        <v>2.5</v>
      </c>
      <c r="E125" s="20">
        <v>2.5</v>
      </c>
      <c r="F125" s="14">
        <v>0</v>
      </c>
      <c r="G125" s="14">
        <v>2.5</v>
      </c>
      <c r="H125" s="14">
        <v>0</v>
      </c>
      <c r="I125" s="14">
        <v>22.4</v>
      </c>
      <c r="J125" s="15">
        <v>0</v>
      </c>
      <c r="K125" s="14">
        <v>0</v>
      </c>
      <c r="L125" s="14">
        <v>0</v>
      </c>
      <c r="M125" s="41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22">
        <v>83.43</v>
      </c>
      <c r="U125" s="93">
        <v>0.20857500000000001</v>
      </c>
      <c r="V125" s="98">
        <v>0.21</v>
      </c>
    </row>
    <row r="126" spans="2:22" x14ac:dyDescent="0.2">
      <c r="B126" s="123"/>
      <c r="C126" s="216" t="s">
        <v>38</v>
      </c>
      <c r="D126" s="20">
        <v>2.5</v>
      </c>
      <c r="E126" s="20">
        <v>2.5</v>
      </c>
      <c r="F126" s="14">
        <v>0.3</v>
      </c>
      <c r="G126" s="14">
        <v>0</v>
      </c>
      <c r="H126" s="14">
        <v>1.7</v>
      </c>
      <c r="I126" s="14">
        <v>8.4</v>
      </c>
      <c r="J126" s="15">
        <v>4.4000000000000004</v>
      </c>
      <c r="K126" s="14">
        <v>0.6</v>
      </c>
      <c r="L126" s="14">
        <v>1.1000000000000001</v>
      </c>
      <c r="M126" s="16">
        <v>2.9</v>
      </c>
      <c r="N126" s="14">
        <v>0.05</v>
      </c>
      <c r="O126" s="14">
        <v>0</v>
      </c>
      <c r="P126" s="14">
        <v>0</v>
      </c>
      <c r="Q126" s="14">
        <v>0</v>
      </c>
      <c r="R126" s="14">
        <v>0.03</v>
      </c>
      <c r="S126" s="14">
        <v>0</v>
      </c>
      <c r="T126" s="22">
        <v>27.31</v>
      </c>
      <c r="U126" s="93">
        <v>6.8275000000000002E-2</v>
      </c>
      <c r="V126" s="98">
        <v>7.0000000000000007E-2</v>
      </c>
    </row>
    <row r="127" spans="2:22" x14ac:dyDescent="0.2">
      <c r="B127" s="123"/>
      <c r="C127" s="216" t="s">
        <v>36</v>
      </c>
      <c r="D127" s="20">
        <v>2</v>
      </c>
      <c r="E127" s="20">
        <v>2</v>
      </c>
      <c r="F127" s="20">
        <v>0.1</v>
      </c>
      <c r="G127" s="20">
        <v>0</v>
      </c>
      <c r="H127" s="20">
        <v>0.4</v>
      </c>
      <c r="I127" s="20">
        <v>2</v>
      </c>
      <c r="J127" s="20">
        <v>17.5</v>
      </c>
      <c r="K127" s="217">
        <v>0.4</v>
      </c>
      <c r="L127" s="20">
        <v>1</v>
      </c>
      <c r="M127" s="217">
        <v>1.36</v>
      </c>
      <c r="N127" s="20">
        <v>0.05</v>
      </c>
      <c r="O127" s="20">
        <v>0</v>
      </c>
      <c r="P127" s="20">
        <v>0</v>
      </c>
      <c r="Q127" s="20">
        <v>0</v>
      </c>
      <c r="R127" s="20">
        <v>0.04</v>
      </c>
      <c r="S127" s="20">
        <v>0.9</v>
      </c>
      <c r="T127" s="22">
        <v>120</v>
      </c>
      <c r="U127" s="93">
        <v>0.24</v>
      </c>
      <c r="V127" s="98">
        <v>0.24</v>
      </c>
    </row>
    <row r="128" spans="2:22" x14ac:dyDescent="0.2">
      <c r="B128" s="201"/>
      <c r="C128" s="155" t="s">
        <v>32</v>
      </c>
      <c r="D128" s="21">
        <v>5</v>
      </c>
      <c r="E128" s="21">
        <v>4</v>
      </c>
      <c r="F128" s="21">
        <v>0.06</v>
      </c>
      <c r="G128" s="21">
        <v>0</v>
      </c>
      <c r="H128" s="21">
        <v>0.28000000000000003</v>
      </c>
      <c r="I128" s="21">
        <v>1.4</v>
      </c>
      <c r="J128" s="21">
        <v>8</v>
      </c>
      <c r="K128" s="21">
        <v>1</v>
      </c>
      <c r="L128" s="21">
        <v>1.5</v>
      </c>
      <c r="M128" s="21">
        <v>2.2000000000000002</v>
      </c>
      <c r="N128" s="21">
        <v>0</v>
      </c>
      <c r="O128" s="21">
        <v>0</v>
      </c>
      <c r="P128" s="21">
        <v>0</v>
      </c>
      <c r="Q128" s="21">
        <v>0</v>
      </c>
      <c r="R128" s="21">
        <v>0.04</v>
      </c>
      <c r="S128" s="21">
        <v>0.2</v>
      </c>
      <c r="T128" s="22">
        <v>32.71</v>
      </c>
      <c r="U128" s="93">
        <v>0.16355</v>
      </c>
      <c r="V128" s="98">
        <v>0.16</v>
      </c>
    </row>
    <row r="129" spans="2:22" x14ac:dyDescent="0.2">
      <c r="B129" s="218"/>
      <c r="C129" s="76" t="s">
        <v>33</v>
      </c>
      <c r="D129" s="72">
        <v>1.2</v>
      </c>
      <c r="E129" s="73">
        <v>1</v>
      </c>
      <c r="F129" s="29">
        <v>0.01</v>
      </c>
      <c r="G129" s="74">
        <v>0</v>
      </c>
      <c r="H129" s="74">
        <v>0.08</v>
      </c>
      <c r="I129" s="74">
        <v>0.41</v>
      </c>
      <c r="J129" s="75">
        <v>1.75</v>
      </c>
      <c r="K129" s="74">
        <v>0.31</v>
      </c>
      <c r="L129" s="74">
        <v>0.14000000000000001</v>
      </c>
      <c r="M129" s="75">
        <v>0.57999999999999996</v>
      </c>
      <c r="N129" s="74">
        <v>0</v>
      </c>
      <c r="O129" s="74">
        <v>0</v>
      </c>
      <c r="P129" s="74">
        <v>0</v>
      </c>
      <c r="Q129" s="74">
        <v>0</v>
      </c>
      <c r="R129" s="74">
        <v>0</v>
      </c>
      <c r="S129" s="74">
        <v>0.1</v>
      </c>
      <c r="T129" s="26">
        <v>29.62</v>
      </c>
      <c r="U129" s="32">
        <v>3.5543999999999999E-2</v>
      </c>
      <c r="V129" s="219">
        <v>0.04</v>
      </c>
    </row>
    <row r="130" spans="2:22" x14ac:dyDescent="0.2">
      <c r="B130" s="218"/>
      <c r="C130" s="30" t="s">
        <v>30</v>
      </c>
      <c r="D130" s="31">
        <v>0.75</v>
      </c>
      <c r="E130" s="31">
        <v>0.75</v>
      </c>
      <c r="F130" s="34">
        <v>0</v>
      </c>
      <c r="G130" s="34">
        <v>0</v>
      </c>
      <c r="H130" s="34">
        <v>0.7</v>
      </c>
      <c r="I130" s="34">
        <v>2.8</v>
      </c>
      <c r="J130" s="34">
        <v>0.02</v>
      </c>
      <c r="K130" s="34">
        <v>0.01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26">
        <v>50.97</v>
      </c>
      <c r="U130" s="96">
        <v>3.8227499999999998E-2</v>
      </c>
      <c r="V130" s="98">
        <v>0.04</v>
      </c>
    </row>
    <row r="131" spans="2:22" s="26" customFormat="1" x14ac:dyDescent="0.2">
      <c r="B131" s="218"/>
      <c r="C131" s="30" t="s">
        <v>46</v>
      </c>
      <c r="D131" s="31">
        <v>0.5</v>
      </c>
      <c r="E131" s="31">
        <v>0.5</v>
      </c>
      <c r="F131" s="31">
        <v>0</v>
      </c>
      <c r="G131" s="31">
        <v>0</v>
      </c>
      <c r="H131" s="31">
        <v>0</v>
      </c>
      <c r="I131" s="31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26">
        <v>11.63</v>
      </c>
      <c r="U131" s="96">
        <v>5.8149999999999999E-3</v>
      </c>
      <c r="V131" s="98">
        <v>0.01</v>
      </c>
    </row>
    <row r="132" spans="2:22" s="26" customFormat="1" x14ac:dyDescent="0.2">
      <c r="B132" s="218"/>
      <c r="C132" s="30" t="s">
        <v>39</v>
      </c>
      <c r="D132" s="31">
        <v>0.02</v>
      </c>
      <c r="E132" s="31">
        <v>0.02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26">
        <v>300</v>
      </c>
      <c r="U132" s="96">
        <v>6.0000000000000001E-3</v>
      </c>
      <c r="V132" s="98">
        <v>0.01</v>
      </c>
    </row>
    <row r="133" spans="2:22" s="26" customFormat="1" x14ac:dyDescent="0.2">
      <c r="B133" s="218"/>
      <c r="C133" s="28" t="s">
        <v>77</v>
      </c>
      <c r="D133" s="29"/>
      <c r="E133" s="29"/>
      <c r="F133" s="29">
        <v>0.47</v>
      </c>
      <c r="G133" s="29">
        <v>2.5</v>
      </c>
      <c r="H133" s="29">
        <v>3.16</v>
      </c>
      <c r="I133" s="29">
        <v>37.409999999999997</v>
      </c>
      <c r="J133" s="29">
        <v>31.67</v>
      </c>
      <c r="K133" s="29">
        <v>2.3199999999999998</v>
      </c>
      <c r="L133" s="29">
        <v>3.74</v>
      </c>
      <c r="M133" s="29">
        <v>7.04</v>
      </c>
      <c r="N133" s="29">
        <v>0.1</v>
      </c>
      <c r="O133" s="29">
        <v>0</v>
      </c>
      <c r="P133" s="29">
        <v>0</v>
      </c>
      <c r="Q133" s="29">
        <v>0</v>
      </c>
      <c r="R133" s="29">
        <v>0.11</v>
      </c>
      <c r="S133" s="29">
        <v>1.2</v>
      </c>
      <c r="U133" s="32">
        <v>0.76598650000000001</v>
      </c>
      <c r="V133" s="219">
        <v>0.77</v>
      </c>
    </row>
    <row r="134" spans="2:22" s="26" customFormat="1" ht="25.5" x14ac:dyDescent="0.2">
      <c r="B134" s="201" t="s">
        <v>6</v>
      </c>
      <c r="C134" s="19" t="s">
        <v>118</v>
      </c>
      <c r="D134" s="196"/>
      <c r="E134" s="232">
        <v>180</v>
      </c>
      <c r="F134" s="27"/>
      <c r="G134" s="233"/>
      <c r="H134" s="233"/>
      <c r="I134" s="233"/>
      <c r="J134" s="234"/>
      <c r="K134" s="233"/>
      <c r="L134" s="233"/>
      <c r="M134" s="234"/>
      <c r="N134" s="233"/>
      <c r="O134" s="233"/>
      <c r="P134" s="233"/>
      <c r="Q134" s="233"/>
      <c r="R134" s="233"/>
      <c r="S134" s="233"/>
      <c r="T134" s="69"/>
      <c r="U134" s="94"/>
      <c r="V134" s="52"/>
    </row>
    <row r="135" spans="2:22" s="26" customFormat="1" x14ac:dyDescent="0.2">
      <c r="B135" s="201"/>
      <c r="C135" s="17" t="s">
        <v>86</v>
      </c>
      <c r="D135" s="14">
        <v>70</v>
      </c>
      <c r="E135" s="14">
        <v>70</v>
      </c>
      <c r="F135" s="20">
        <v>8.75</v>
      </c>
      <c r="G135" s="20">
        <v>0.49</v>
      </c>
      <c r="H135" s="20">
        <v>50.26</v>
      </c>
      <c r="I135" s="20">
        <v>228.2</v>
      </c>
      <c r="J135" s="20">
        <v>0</v>
      </c>
      <c r="K135" s="20">
        <v>0</v>
      </c>
      <c r="L135" s="20">
        <v>0</v>
      </c>
      <c r="M135" s="20">
        <v>193.2</v>
      </c>
      <c r="N135" s="20">
        <v>4.6900000000000004</v>
      </c>
      <c r="O135" s="20">
        <v>0</v>
      </c>
      <c r="P135" s="20">
        <v>0.21</v>
      </c>
      <c r="Q135" s="20">
        <v>0</v>
      </c>
      <c r="R135" s="20">
        <v>0.98</v>
      </c>
      <c r="S135" s="20">
        <v>0</v>
      </c>
      <c r="T135" s="69">
        <v>29.32</v>
      </c>
      <c r="U135" s="92">
        <v>2.11104</v>
      </c>
      <c r="V135" s="92">
        <v>2.11104</v>
      </c>
    </row>
    <row r="136" spans="2:22" s="26" customFormat="1" x14ac:dyDescent="0.2">
      <c r="B136" s="201"/>
      <c r="C136" s="17" t="s">
        <v>46</v>
      </c>
      <c r="D136" s="14">
        <v>2</v>
      </c>
      <c r="E136" s="14">
        <v>2</v>
      </c>
      <c r="F136" s="14">
        <v>0</v>
      </c>
      <c r="G136" s="14">
        <v>0</v>
      </c>
      <c r="H136" s="14">
        <v>0</v>
      </c>
      <c r="I136" s="14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69">
        <v>11.13</v>
      </c>
      <c r="U136" s="92">
        <v>2.2259999999999999E-2</v>
      </c>
      <c r="V136" s="92">
        <v>2.2259999999999999E-2</v>
      </c>
    </row>
    <row r="137" spans="2:22" x14ac:dyDescent="0.2">
      <c r="B137" s="201"/>
      <c r="C137" s="17" t="s">
        <v>37</v>
      </c>
      <c r="D137" s="14">
        <v>6.3</v>
      </c>
      <c r="E137" s="14">
        <v>6.3</v>
      </c>
      <c r="F137" s="14">
        <v>0</v>
      </c>
      <c r="G137" s="14">
        <v>4.3499999999999996</v>
      </c>
      <c r="H137" s="14">
        <v>0</v>
      </c>
      <c r="I137" s="14">
        <v>39.659999999999997</v>
      </c>
      <c r="J137" s="14">
        <v>1.38</v>
      </c>
      <c r="K137" s="14">
        <v>1.37</v>
      </c>
      <c r="L137" s="14">
        <v>0.18</v>
      </c>
      <c r="M137" s="14">
        <v>1.1399999999999999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69">
        <v>300.63</v>
      </c>
      <c r="U137" s="92">
        <v>1.893969</v>
      </c>
      <c r="V137" s="92">
        <v>1.893969</v>
      </c>
    </row>
    <row r="138" spans="2:22" x14ac:dyDescent="0.2">
      <c r="B138" s="201"/>
      <c r="C138" s="17" t="s">
        <v>77</v>
      </c>
      <c r="D138" s="14"/>
      <c r="E138" s="14"/>
      <c r="F138" s="14">
        <v>8.75</v>
      </c>
      <c r="G138" s="14">
        <v>4.84</v>
      </c>
      <c r="H138" s="14">
        <v>50.26</v>
      </c>
      <c r="I138" s="14">
        <v>267.86</v>
      </c>
      <c r="J138" s="14">
        <v>1.38</v>
      </c>
      <c r="K138" s="14">
        <v>1.37</v>
      </c>
      <c r="L138" s="14">
        <v>0.18</v>
      </c>
      <c r="M138" s="14">
        <v>194.34</v>
      </c>
      <c r="N138" s="14">
        <v>4.6900000000000004</v>
      </c>
      <c r="O138" s="14">
        <v>0</v>
      </c>
      <c r="P138" s="14">
        <v>0.21</v>
      </c>
      <c r="Q138" s="14">
        <v>0</v>
      </c>
      <c r="R138" s="14">
        <v>0.98</v>
      </c>
      <c r="S138" s="14">
        <v>0</v>
      </c>
      <c r="T138" s="69"/>
      <c r="U138" s="92">
        <v>4.0272690000000004</v>
      </c>
      <c r="V138" s="92">
        <v>4.0272690000000004</v>
      </c>
    </row>
    <row r="139" spans="2:22" x14ac:dyDescent="0.2">
      <c r="B139" s="123" t="s">
        <v>73</v>
      </c>
      <c r="C139" s="6" t="s">
        <v>74</v>
      </c>
      <c r="D139" s="20" t="s">
        <v>75</v>
      </c>
      <c r="E139" s="20"/>
      <c r="F139" s="20"/>
      <c r="G139" s="20"/>
      <c r="H139" s="20"/>
      <c r="I139" s="20"/>
      <c r="J139" s="20"/>
      <c r="K139" s="217"/>
      <c r="L139" s="20"/>
      <c r="M139" s="217"/>
      <c r="N139" s="20"/>
      <c r="O139" s="20"/>
      <c r="P139" s="20"/>
      <c r="Q139" s="20"/>
      <c r="R139" s="20"/>
      <c r="S139" s="20"/>
      <c r="V139" s="93"/>
    </row>
    <row r="140" spans="2:22" x14ac:dyDescent="0.2">
      <c r="B140" s="123"/>
      <c r="C140" s="188" t="s">
        <v>40</v>
      </c>
      <c r="D140" s="20">
        <v>50</v>
      </c>
      <c r="E140" s="20">
        <v>50</v>
      </c>
      <c r="F140" s="14">
        <v>0.1</v>
      </c>
      <c r="G140" s="14">
        <v>0</v>
      </c>
      <c r="H140" s="14">
        <v>0</v>
      </c>
      <c r="I140" s="14">
        <v>0.8</v>
      </c>
      <c r="J140" s="14">
        <v>12.4</v>
      </c>
      <c r="K140" s="14">
        <v>2.5</v>
      </c>
      <c r="L140" s="14">
        <v>2.2000000000000002</v>
      </c>
      <c r="M140" s="14">
        <v>4.0999999999999996</v>
      </c>
      <c r="N140" s="14">
        <v>0.4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22">
        <v>412</v>
      </c>
      <c r="U140" s="93">
        <v>0.41199999999999998</v>
      </c>
      <c r="V140" s="93">
        <v>0.41199999999999998</v>
      </c>
    </row>
    <row r="141" spans="2:22" s="26" customFormat="1" x14ac:dyDescent="0.2">
      <c r="B141" s="123"/>
      <c r="C141" s="65" t="s">
        <v>30</v>
      </c>
      <c r="D141" s="3">
        <v>15</v>
      </c>
      <c r="E141" s="3">
        <v>15</v>
      </c>
      <c r="F141" s="3">
        <v>0</v>
      </c>
      <c r="G141" s="3">
        <v>0</v>
      </c>
      <c r="H141" s="3">
        <v>15</v>
      </c>
      <c r="I141" s="3">
        <v>56.9</v>
      </c>
      <c r="J141" s="3">
        <v>0.5</v>
      </c>
      <c r="K141" s="3">
        <v>0.4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22">
        <v>35.159999999999997</v>
      </c>
      <c r="U141" s="93">
        <v>0.52739999999999998</v>
      </c>
      <c r="V141" s="93">
        <v>0.52739999999999998</v>
      </c>
    </row>
    <row r="142" spans="2:22" x14ac:dyDescent="0.2">
      <c r="B142" s="123"/>
      <c r="C142" s="65" t="s">
        <v>35</v>
      </c>
      <c r="D142" s="14">
        <v>150</v>
      </c>
      <c r="E142" s="3">
        <v>150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51">
        <v>0</v>
      </c>
      <c r="S142" s="4">
        <v>0</v>
      </c>
      <c r="T142" s="22">
        <v>0</v>
      </c>
      <c r="U142" s="93">
        <v>0</v>
      </c>
      <c r="V142" s="93">
        <v>0</v>
      </c>
    </row>
    <row r="143" spans="2:22" x14ac:dyDescent="0.2">
      <c r="B143" s="123"/>
      <c r="C143" s="5" t="s">
        <v>47</v>
      </c>
      <c r="D143" s="14"/>
      <c r="E143" s="14"/>
      <c r="F143" s="14">
        <v>0.1</v>
      </c>
      <c r="G143" s="14">
        <v>0</v>
      </c>
      <c r="H143" s="14">
        <v>15</v>
      </c>
      <c r="I143" s="14">
        <v>57.7</v>
      </c>
      <c r="J143" s="14">
        <v>12.9</v>
      </c>
      <c r="K143" s="14">
        <v>2.9</v>
      </c>
      <c r="L143" s="14">
        <v>2.2000000000000002</v>
      </c>
      <c r="M143" s="14">
        <v>4.12</v>
      </c>
      <c r="N143" s="14">
        <v>0.4</v>
      </c>
      <c r="O143" s="14">
        <v>0</v>
      </c>
      <c r="P143" s="14">
        <v>0</v>
      </c>
      <c r="Q143" s="14">
        <v>0</v>
      </c>
      <c r="R143" s="204">
        <v>0</v>
      </c>
      <c r="S143" s="14">
        <v>0</v>
      </c>
      <c r="U143" s="93">
        <v>0.93940000000000001</v>
      </c>
      <c r="V143" s="93">
        <v>0.93940000000000001</v>
      </c>
    </row>
    <row r="144" spans="2:22" ht="25.5" x14ac:dyDescent="0.2">
      <c r="B144" s="123" t="s">
        <v>24</v>
      </c>
      <c r="C144" s="5" t="s">
        <v>105</v>
      </c>
      <c r="D144" s="196">
        <v>30</v>
      </c>
      <c r="E144" s="196">
        <v>30</v>
      </c>
      <c r="F144" s="3">
        <v>1.54</v>
      </c>
      <c r="G144" s="3">
        <v>0.6</v>
      </c>
      <c r="H144" s="3">
        <v>9.9600000000000009</v>
      </c>
      <c r="I144" s="3">
        <v>52.4</v>
      </c>
      <c r="J144" s="7">
        <v>25.4</v>
      </c>
      <c r="K144" s="3">
        <v>5.2</v>
      </c>
      <c r="L144" s="3">
        <v>7</v>
      </c>
      <c r="M144" s="7">
        <v>16.600000000000001</v>
      </c>
      <c r="N144" s="3">
        <v>0.32</v>
      </c>
      <c r="O144" s="3">
        <v>0</v>
      </c>
      <c r="P144" s="3">
        <v>3.2000000000000001E-2</v>
      </c>
      <c r="Q144" s="3">
        <v>1.6E-2</v>
      </c>
      <c r="R144" s="3">
        <v>0.308</v>
      </c>
      <c r="S144" s="3">
        <v>0</v>
      </c>
      <c r="T144" s="22">
        <v>29.29</v>
      </c>
      <c r="U144" s="93">
        <v>0.58584000000000003</v>
      </c>
      <c r="V144" s="93">
        <v>0.58584000000000003</v>
      </c>
    </row>
    <row r="145" spans="2:22" x14ac:dyDescent="0.2">
      <c r="B145" s="123" t="s">
        <v>24</v>
      </c>
      <c r="C145" s="5" t="s">
        <v>106</v>
      </c>
      <c r="D145" s="200">
        <v>20</v>
      </c>
      <c r="E145" s="200">
        <v>20</v>
      </c>
      <c r="F145" s="14">
        <v>1.32</v>
      </c>
      <c r="G145" s="14">
        <v>0.24</v>
      </c>
      <c r="H145" s="14">
        <v>6.84</v>
      </c>
      <c r="I145" s="14">
        <v>36.200000000000003</v>
      </c>
      <c r="J145" s="16">
        <v>18.8</v>
      </c>
      <c r="K145" s="14">
        <v>6.8</v>
      </c>
      <c r="L145" s="14">
        <v>8.1999999999999993</v>
      </c>
      <c r="M145" s="16">
        <v>24</v>
      </c>
      <c r="N145" s="14">
        <v>0.46</v>
      </c>
      <c r="O145" s="14">
        <v>0</v>
      </c>
      <c r="P145" s="14">
        <v>2.1999999999999999E-2</v>
      </c>
      <c r="Q145" s="14">
        <v>1.6E-2</v>
      </c>
      <c r="R145" s="14">
        <v>0.128</v>
      </c>
      <c r="S145" s="14">
        <v>0</v>
      </c>
      <c r="T145" s="22">
        <v>35.9</v>
      </c>
      <c r="U145" s="93">
        <v>0.71799999999999997</v>
      </c>
      <c r="V145" s="93">
        <v>0.71799999999999997</v>
      </c>
    </row>
    <row r="146" spans="2:22" x14ac:dyDescent="0.2">
      <c r="B146" s="123"/>
      <c r="C146" s="5" t="s">
        <v>25</v>
      </c>
      <c r="D146" s="200"/>
      <c r="E146" s="200"/>
      <c r="F146" s="14">
        <v>35.757750000000001</v>
      </c>
      <c r="G146" s="14">
        <v>36.555500000000002</v>
      </c>
      <c r="H146" s="14">
        <v>116.89</v>
      </c>
      <c r="I146" s="14">
        <v>993.42499999999995</v>
      </c>
      <c r="J146" s="14">
        <v>1090.825</v>
      </c>
      <c r="K146" s="14">
        <v>77.555000000000007</v>
      </c>
      <c r="L146" s="14">
        <v>93.444999999999993</v>
      </c>
      <c r="M146" s="14">
        <v>569.4375</v>
      </c>
      <c r="N146" s="14">
        <v>9.2597500000000004</v>
      </c>
      <c r="O146" s="14">
        <v>7.5550000000000006E-2</v>
      </c>
      <c r="P146" s="14">
        <v>0.60567499999999996</v>
      </c>
      <c r="Q146" s="14">
        <v>0.33300000000000002</v>
      </c>
      <c r="R146" s="14">
        <v>12.41675</v>
      </c>
      <c r="S146" s="14">
        <v>25.98</v>
      </c>
      <c r="T146" s="26"/>
      <c r="U146" s="165">
        <v>38.541676500000001</v>
      </c>
      <c r="V146" s="165">
        <v>38.541676500000001</v>
      </c>
    </row>
    <row r="147" spans="2:22" x14ac:dyDescent="0.2">
      <c r="B147" s="123"/>
      <c r="C147" s="196" t="s">
        <v>56</v>
      </c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3"/>
      <c r="V147" s="52"/>
    </row>
    <row r="148" spans="2:22" x14ac:dyDescent="0.2">
      <c r="B148" s="123"/>
      <c r="C148" s="196" t="s">
        <v>1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3"/>
      <c r="V148" s="52"/>
    </row>
    <row r="149" spans="2:22" x14ac:dyDescent="0.2">
      <c r="B149" s="123" t="s">
        <v>54</v>
      </c>
      <c r="C149" s="19" t="s">
        <v>90</v>
      </c>
      <c r="D149" s="235"/>
      <c r="E149" s="21">
        <v>250</v>
      </c>
      <c r="F149" s="131"/>
      <c r="G149" s="131"/>
      <c r="H149" s="131"/>
      <c r="I149" s="131"/>
      <c r="J149" s="132"/>
      <c r="K149" s="131"/>
      <c r="L149" s="131"/>
      <c r="M149" s="133"/>
      <c r="N149" s="131"/>
      <c r="O149" s="131"/>
      <c r="P149" s="131"/>
      <c r="Q149" s="131"/>
      <c r="R149" s="131"/>
      <c r="S149" s="131"/>
      <c r="T149" s="236"/>
      <c r="V149" s="22"/>
    </row>
    <row r="150" spans="2:22" x14ac:dyDescent="0.2">
      <c r="B150" s="201"/>
      <c r="C150" s="209" t="s">
        <v>31</v>
      </c>
      <c r="D150" s="210">
        <v>100</v>
      </c>
      <c r="E150" s="138">
        <v>75</v>
      </c>
      <c r="F150" s="141">
        <v>1.5</v>
      </c>
      <c r="G150" s="141">
        <v>0.3</v>
      </c>
      <c r="H150" s="141">
        <v>12.23</v>
      </c>
      <c r="I150" s="141">
        <v>57.75</v>
      </c>
      <c r="J150" s="237">
        <v>426</v>
      </c>
      <c r="K150" s="141">
        <v>7.5</v>
      </c>
      <c r="L150" s="141">
        <v>43.5</v>
      </c>
      <c r="M150" s="238">
        <v>0.7</v>
      </c>
      <c r="N150" s="141">
        <v>0</v>
      </c>
      <c r="O150" s="141">
        <v>0.09</v>
      </c>
      <c r="P150" s="141">
        <v>0</v>
      </c>
      <c r="Q150" s="141">
        <v>0</v>
      </c>
      <c r="R150" s="141">
        <v>0.98</v>
      </c>
      <c r="S150" s="141">
        <v>15</v>
      </c>
      <c r="T150" s="206">
        <v>3.58</v>
      </c>
      <c r="U150" s="93">
        <v>5.3639999999999999</v>
      </c>
      <c r="V150" s="93">
        <v>5.3639999999999999</v>
      </c>
    </row>
    <row r="151" spans="2:22" x14ac:dyDescent="0.2">
      <c r="B151" s="201"/>
      <c r="C151" s="209" t="s">
        <v>86</v>
      </c>
      <c r="D151" s="210">
        <v>5</v>
      </c>
      <c r="E151" s="138">
        <v>5</v>
      </c>
      <c r="F151" s="141">
        <v>0.63</v>
      </c>
      <c r="G151" s="141">
        <v>0</v>
      </c>
      <c r="H151" s="141">
        <v>3.6</v>
      </c>
      <c r="I151" s="141">
        <v>16.3</v>
      </c>
      <c r="J151" s="237">
        <v>0</v>
      </c>
      <c r="K151" s="141">
        <v>0</v>
      </c>
      <c r="L151" s="141">
        <v>0</v>
      </c>
      <c r="M151" s="238">
        <v>13.8</v>
      </c>
      <c r="N151" s="141">
        <v>0.34</v>
      </c>
      <c r="O151" s="141">
        <v>0</v>
      </c>
      <c r="P151" s="141">
        <v>0</v>
      </c>
      <c r="Q151" s="141">
        <v>0</v>
      </c>
      <c r="R151" s="141">
        <v>7.0000000000000007E-2</v>
      </c>
      <c r="S151" s="141">
        <v>0</v>
      </c>
      <c r="T151" s="206">
        <v>0.15</v>
      </c>
      <c r="U151" s="93">
        <v>0.4325</v>
      </c>
      <c r="V151" s="93">
        <v>0.4325</v>
      </c>
    </row>
    <row r="152" spans="2:22" x14ac:dyDescent="0.2">
      <c r="B152" s="201"/>
      <c r="C152" s="209" t="s">
        <v>32</v>
      </c>
      <c r="D152" s="210">
        <v>12.5</v>
      </c>
      <c r="E152" s="138">
        <v>10</v>
      </c>
      <c r="F152" s="141">
        <v>0.13</v>
      </c>
      <c r="G152" s="141">
        <v>0</v>
      </c>
      <c r="H152" s="141">
        <v>0.69</v>
      </c>
      <c r="I152" s="141">
        <v>3.5</v>
      </c>
      <c r="J152" s="237">
        <v>20</v>
      </c>
      <c r="K152" s="141">
        <v>2.7</v>
      </c>
      <c r="L152" s="141">
        <v>3.8</v>
      </c>
      <c r="M152" s="238">
        <v>5.5</v>
      </c>
      <c r="N152" s="141">
        <v>7.0000000000000007E-2</v>
      </c>
      <c r="O152" s="141">
        <v>0</v>
      </c>
      <c r="P152" s="141">
        <v>0</v>
      </c>
      <c r="Q152" s="141">
        <v>0</v>
      </c>
      <c r="R152" s="141">
        <v>0.1</v>
      </c>
      <c r="S152" s="141">
        <v>0.5</v>
      </c>
      <c r="T152" s="206">
        <v>0.43</v>
      </c>
      <c r="U152" s="93">
        <v>0.41076000000000001</v>
      </c>
      <c r="V152" s="93">
        <v>0.41076000000000001</v>
      </c>
    </row>
    <row r="153" spans="2:22" x14ac:dyDescent="0.2">
      <c r="B153" s="201"/>
      <c r="C153" s="209" t="s">
        <v>33</v>
      </c>
      <c r="D153" s="210">
        <v>6</v>
      </c>
      <c r="E153" s="138">
        <v>5</v>
      </c>
      <c r="F153" s="141">
        <v>0</v>
      </c>
      <c r="G153" s="141">
        <v>0</v>
      </c>
      <c r="H153" s="141">
        <v>0.41</v>
      </c>
      <c r="I153" s="141">
        <v>2.0499999999999998</v>
      </c>
      <c r="J153" s="237">
        <v>9</v>
      </c>
      <c r="K153" s="141">
        <v>1.55</v>
      </c>
      <c r="L153" s="141">
        <v>0.7</v>
      </c>
      <c r="M153" s="238">
        <v>2.9</v>
      </c>
      <c r="N153" s="141">
        <v>0</v>
      </c>
      <c r="O153" s="141">
        <v>0</v>
      </c>
      <c r="P153" s="141">
        <v>0</v>
      </c>
      <c r="Q153" s="141">
        <v>0</v>
      </c>
      <c r="R153" s="141">
        <v>0</v>
      </c>
      <c r="S153" s="141">
        <v>0.5</v>
      </c>
      <c r="T153" s="206">
        <v>0.21</v>
      </c>
      <c r="U153" s="93">
        <v>0.17599999999999999</v>
      </c>
      <c r="V153" s="93">
        <v>0.17599999999999999</v>
      </c>
    </row>
    <row r="154" spans="2:22" x14ac:dyDescent="0.2">
      <c r="B154" s="201"/>
      <c r="C154" s="209" t="s">
        <v>55</v>
      </c>
      <c r="D154" s="210">
        <v>16.8</v>
      </c>
      <c r="E154" s="138">
        <v>15</v>
      </c>
      <c r="F154" s="141">
        <v>0.12</v>
      </c>
      <c r="G154" s="141">
        <v>0</v>
      </c>
      <c r="H154" s="141">
        <v>0.26</v>
      </c>
      <c r="I154" s="141">
        <v>1.95</v>
      </c>
      <c r="J154" s="237">
        <v>21</v>
      </c>
      <c r="K154" s="141">
        <v>3.45</v>
      </c>
      <c r="L154" s="141">
        <v>2.1</v>
      </c>
      <c r="M154" s="238">
        <v>3.6</v>
      </c>
      <c r="N154" s="141">
        <v>0</v>
      </c>
      <c r="O154" s="141">
        <v>0</v>
      </c>
      <c r="P154" s="141">
        <v>0</v>
      </c>
      <c r="Q154" s="141">
        <v>0</v>
      </c>
      <c r="R154" s="141">
        <v>0</v>
      </c>
      <c r="S154" s="141">
        <v>0.75</v>
      </c>
      <c r="T154" s="206">
        <v>2.2200000000000002</v>
      </c>
      <c r="U154" s="93">
        <v>0</v>
      </c>
      <c r="V154" s="93">
        <v>0</v>
      </c>
    </row>
    <row r="155" spans="2:22" ht="25.5" x14ac:dyDescent="0.2">
      <c r="B155" s="201"/>
      <c r="C155" s="209" t="s">
        <v>34</v>
      </c>
      <c r="D155" s="210">
        <v>5</v>
      </c>
      <c r="E155" s="138">
        <v>5</v>
      </c>
      <c r="F155" s="141">
        <v>0</v>
      </c>
      <c r="G155" s="141">
        <v>5</v>
      </c>
      <c r="H155" s="141">
        <v>0</v>
      </c>
      <c r="I155" s="141">
        <v>45</v>
      </c>
      <c r="J155" s="237">
        <v>0</v>
      </c>
      <c r="K155" s="141">
        <v>0</v>
      </c>
      <c r="L155" s="141">
        <v>0</v>
      </c>
      <c r="M155" s="238">
        <v>0</v>
      </c>
      <c r="N155" s="141">
        <v>0</v>
      </c>
      <c r="O155" s="141">
        <v>0</v>
      </c>
      <c r="P155" s="141">
        <v>0</v>
      </c>
      <c r="Q155" s="141">
        <v>0</v>
      </c>
      <c r="R155" s="141">
        <v>0</v>
      </c>
      <c r="S155" s="141">
        <v>0</v>
      </c>
      <c r="T155" s="206">
        <v>0.35</v>
      </c>
      <c r="U155" s="93">
        <v>2.2259999999999999E-2</v>
      </c>
      <c r="V155" s="93">
        <v>2.2259999999999999E-2</v>
      </c>
    </row>
    <row r="156" spans="2:22" x14ac:dyDescent="0.2">
      <c r="B156" s="201"/>
      <c r="C156" s="209" t="s">
        <v>46</v>
      </c>
      <c r="D156" s="210">
        <v>2</v>
      </c>
      <c r="E156" s="138">
        <v>2</v>
      </c>
      <c r="F156" s="141">
        <v>0</v>
      </c>
      <c r="G156" s="141">
        <v>0</v>
      </c>
      <c r="H156" s="141">
        <v>0</v>
      </c>
      <c r="I156" s="141">
        <v>0</v>
      </c>
      <c r="J156" s="237">
        <v>0</v>
      </c>
      <c r="K156" s="141">
        <v>0</v>
      </c>
      <c r="L156" s="141">
        <v>0</v>
      </c>
      <c r="M156" s="238">
        <v>0</v>
      </c>
      <c r="N156" s="141">
        <v>0</v>
      </c>
      <c r="O156" s="141">
        <v>0</v>
      </c>
      <c r="P156" s="141">
        <v>0</v>
      </c>
      <c r="Q156" s="141">
        <v>0</v>
      </c>
      <c r="R156" s="141">
        <v>0</v>
      </c>
      <c r="S156" s="141">
        <v>0</v>
      </c>
      <c r="T156" s="206">
        <v>0.02</v>
      </c>
      <c r="U156" s="93">
        <v>0.92949999999999999</v>
      </c>
      <c r="V156" s="93">
        <v>0.92949999999999999</v>
      </c>
    </row>
    <row r="157" spans="2:22" x14ac:dyDescent="0.2">
      <c r="B157" s="201"/>
      <c r="C157" s="209" t="s">
        <v>35</v>
      </c>
      <c r="D157" s="210">
        <v>187.5</v>
      </c>
      <c r="E157" s="138">
        <v>187.5</v>
      </c>
      <c r="F157" s="141">
        <v>0</v>
      </c>
      <c r="G157" s="141">
        <v>0</v>
      </c>
      <c r="H157" s="141">
        <v>0</v>
      </c>
      <c r="I157" s="141">
        <v>0</v>
      </c>
      <c r="J157" s="237">
        <v>0</v>
      </c>
      <c r="K157" s="141">
        <v>0</v>
      </c>
      <c r="L157" s="141">
        <v>0</v>
      </c>
      <c r="M157" s="238">
        <v>0</v>
      </c>
      <c r="N157" s="141">
        <v>0</v>
      </c>
      <c r="O157" s="141">
        <v>0</v>
      </c>
      <c r="P157" s="141">
        <v>0</v>
      </c>
      <c r="Q157" s="141">
        <v>0</v>
      </c>
      <c r="R157" s="141">
        <v>0</v>
      </c>
      <c r="S157" s="141">
        <v>0</v>
      </c>
      <c r="T157" s="206">
        <v>0</v>
      </c>
      <c r="U157" s="93">
        <v>0</v>
      </c>
      <c r="V157" s="93">
        <v>0</v>
      </c>
    </row>
    <row r="158" spans="2:22" x14ac:dyDescent="0.2">
      <c r="B158" s="201"/>
      <c r="C158" s="18" t="s">
        <v>47</v>
      </c>
      <c r="D158" s="210"/>
      <c r="E158" s="138"/>
      <c r="F158" s="141">
        <v>2.38</v>
      </c>
      <c r="G158" s="141">
        <v>5.3</v>
      </c>
      <c r="H158" s="141">
        <v>17.190000000000001</v>
      </c>
      <c r="I158" s="141">
        <v>126.55</v>
      </c>
      <c r="J158" s="237">
        <v>476</v>
      </c>
      <c r="K158" s="141">
        <v>15.2</v>
      </c>
      <c r="L158" s="141">
        <v>50.1</v>
      </c>
      <c r="M158" s="238">
        <v>26.5</v>
      </c>
      <c r="N158" s="141">
        <v>0.41</v>
      </c>
      <c r="O158" s="141">
        <v>0.09</v>
      </c>
      <c r="P158" s="141">
        <v>0</v>
      </c>
      <c r="Q158" s="141">
        <v>0</v>
      </c>
      <c r="R158" s="141">
        <v>1.1499999999999999</v>
      </c>
      <c r="S158" s="141">
        <v>16.75</v>
      </c>
      <c r="T158" s="206">
        <v>6.95</v>
      </c>
      <c r="U158" s="32">
        <v>7.34</v>
      </c>
      <c r="V158" s="22">
        <v>7.34</v>
      </c>
    </row>
    <row r="159" spans="2:22" x14ac:dyDescent="0.2">
      <c r="B159" s="123" t="s">
        <v>95</v>
      </c>
      <c r="C159" s="25" t="s">
        <v>158</v>
      </c>
      <c r="D159" s="22"/>
      <c r="E159" s="22">
        <v>100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3"/>
      <c r="V159" s="22"/>
    </row>
    <row r="160" spans="2:22" x14ac:dyDescent="0.2">
      <c r="B160" s="123"/>
      <c r="C160" s="171" t="s">
        <v>94</v>
      </c>
      <c r="D160" s="22">
        <v>170</v>
      </c>
      <c r="E160" s="3">
        <v>70</v>
      </c>
      <c r="F160" s="3">
        <v>13.09</v>
      </c>
      <c r="G160" s="3">
        <v>11.27</v>
      </c>
      <c r="H160" s="3">
        <v>0</v>
      </c>
      <c r="I160" s="3">
        <v>154</v>
      </c>
      <c r="J160" s="3">
        <v>165.2</v>
      </c>
      <c r="K160" s="3">
        <v>9.8000000000000007</v>
      </c>
      <c r="L160" s="3">
        <v>13.3</v>
      </c>
      <c r="M160" s="3">
        <v>112</v>
      </c>
      <c r="N160" s="3">
        <v>0.91</v>
      </c>
      <c r="O160" s="3">
        <v>2.8000000000000001E-2</v>
      </c>
      <c r="P160" s="3">
        <v>6.3E-2</v>
      </c>
      <c r="Q160" s="3">
        <v>0.105</v>
      </c>
      <c r="R160" s="3">
        <v>4.2699999999999996</v>
      </c>
      <c r="S160" s="3">
        <v>1.4</v>
      </c>
      <c r="T160" s="22">
        <v>110.79</v>
      </c>
      <c r="U160" s="93">
        <v>18.834299999999999</v>
      </c>
      <c r="V160" s="93">
        <v>18.834299999999999</v>
      </c>
    </row>
    <row r="161" spans="2:22" x14ac:dyDescent="0.2">
      <c r="B161" s="123"/>
      <c r="C161" s="23" t="s">
        <v>81</v>
      </c>
      <c r="D161" s="22">
        <v>16</v>
      </c>
      <c r="E161" s="22">
        <v>16</v>
      </c>
      <c r="F161" s="22">
        <v>1.232</v>
      </c>
      <c r="G161" s="22">
        <v>0.48</v>
      </c>
      <c r="H161" s="22">
        <v>7.968</v>
      </c>
      <c r="I161" s="22">
        <v>41.92</v>
      </c>
      <c r="J161" s="22">
        <v>20.3</v>
      </c>
      <c r="K161" s="22">
        <v>4.16</v>
      </c>
      <c r="L161" s="22">
        <v>5.6</v>
      </c>
      <c r="M161" s="22">
        <v>13.3</v>
      </c>
      <c r="N161" s="22">
        <v>0.25600000000000001</v>
      </c>
      <c r="O161" s="22">
        <v>0</v>
      </c>
      <c r="P161" s="22">
        <v>2.5600000000000001E-2</v>
      </c>
      <c r="Q161" s="22">
        <v>1.2800000000000001E-2</v>
      </c>
      <c r="R161" s="22">
        <v>0.24640000000000001</v>
      </c>
      <c r="S161" s="22">
        <v>0</v>
      </c>
      <c r="V161" s="93"/>
    </row>
    <row r="162" spans="2:22" x14ac:dyDescent="0.2">
      <c r="B162" s="123"/>
      <c r="C162" s="23" t="s">
        <v>87</v>
      </c>
      <c r="D162" s="22">
        <v>4</v>
      </c>
      <c r="E162" s="22">
        <v>4</v>
      </c>
      <c r="F162" s="22">
        <v>0.748</v>
      </c>
      <c r="G162" s="22">
        <v>0.64400000000000002</v>
      </c>
      <c r="H162" s="22">
        <v>0</v>
      </c>
      <c r="I162" s="22">
        <v>8.8000000000000007</v>
      </c>
      <c r="J162" s="22">
        <v>9.4</v>
      </c>
      <c r="K162" s="22">
        <v>0.56000000000000005</v>
      </c>
      <c r="L162" s="22">
        <v>0.76</v>
      </c>
      <c r="M162" s="22">
        <v>6.4</v>
      </c>
      <c r="N162" s="22">
        <v>5.1999999999999998E-2</v>
      </c>
      <c r="O162" s="22">
        <v>1.6000000000000001E-3</v>
      </c>
      <c r="P162" s="22">
        <v>3.5999999999999999E-3</v>
      </c>
      <c r="Q162" s="22">
        <v>6.0000000000000001E-3</v>
      </c>
      <c r="R162" s="22">
        <v>0.24399999999999999</v>
      </c>
      <c r="S162" s="22">
        <v>0.08</v>
      </c>
      <c r="T162" s="22">
        <v>29.92</v>
      </c>
      <c r="U162" s="93">
        <v>0.11967999999999999</v>
      </c>
      <c r="V162" s="93">
        <v>0.11967999999999999</v>
      </c>
    </row>
    <row r="163" spans="2:22" x14ac:dyDescent="0.2">
      <c r="B163" s="123"/>
      <c r="C163" s="23" t="s">
        <v>88</v>
      </c>
      <c r="D163" s="22">
        <v>24</v>
      </c>
      <c r="E163" s="22">
        <v>24</v>
      </c>
      <c r="F163" s="22">
        <v>0</v>
      </c>
      <c r="G163" s="22">
        <v>0</v>
      </c>
      <c r="H163" s="22">
        <v>0</v>
      </c>
      <c r="I163" s="22">
        <v>0</v>
      </c>
      <c r="J163" s="15">
        <v>0</v>
      </c>
      <c r="K163" s="14">
        <v>0</v>
      </c>
      <c r="L163" s="14">
        <v>0</v>
      </c>
      <c r="M163" s="16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22">
        <v>0</v>
      </c>
      <c r="U163" s="93">
        <v>0</v>
      </c>
      <c r="V163" s="93">
        <v>0</v>
      </c>
    </row>
    <row r="164" spans="2:22" x14ac:dyDescent="0.2">
      <c r="B164" s="123"/>
      <c r="C164" s="23" t="s">
        <v>159</v>
      </c>
      <c r="D164" s="22">
        <v>10</v>
      </c>
      <c r="E164" s="22">
        <v>10</v>
      </c>
      <c r="F164" s="22">
        <v>0.77</v>
      </c>
      <c r="G164" s="22">
        <v>0.3</v>
      </c>
      <c r="H164" s="22">
        <v>4.9800000000000004</v>
      </c>
      <c r="I164" s="22">
        <v>26.2</v>
      </c>
      <c r="J164" s="22">
        <v>12.7</v>
      </c>
      <c r="K164" s="22">
        <v>2.6</v>
      </c>
      <c r="L164" s="22">
        <v>3.5</v>
      </c>
      <c r="M164" s="22">
        <v>8.3000000000000007</v>
      </c>
      <c r="N164" s="22">
        <v>0.16</v>
      </c>
      <c r="O164" s="22">
        <v>0</v>
      </c>
      <c r="P164" s="22">
        <v>1.6E-2</v>
      </c>
      <c r="Q164" s="22">
        <v>8.0000000000000002E-3</v>
      </c>
      <c r="R164" s="22">
        <v>0.154</v>
      </c>
      <c r="S164" s="22">
        <v>0</v>
      </c>
      <c r="T164" s="22">
        <v>0</v>
      </c>
      <c r="U164" s="93">
        <v>0</v>
      </c>
      <c r="V164" s="93">
        <v>0</v>
      </c>
    </row>
    <row r="165" spans="2:22" x14ac:dyDescent="0.2">
      <c r="B165" s="123"/>
      <c r="C165" s="23" t="s">
        <v>78</v>
      </c>
      <c r="D165" s="22">
        <v>6</v>
      </c>
      <c r="E165" s="22">
        <v>6</v>
      </c>
      <c r="F165" s="22">
        <v>0</v>
      </c>
      <c r="G165" s="22">
        <v>5.9939999999999998</v>
      </c>
      <c r="H165" s="22">
        <v>0</v>
      </c>
      <c r="I165" s="22">
        <v>53.94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22">
        <v>29.92</v>
      </c>
      <c r="U165" s="93">
        <v>0.17952000000000001</v>
      </c>
      <c r="V165" s="93">
        <v>0.17952000000000001</v>
      </c>
    </row>
    <row r="166" spans="2:22" x14ac:dyDescent="0.2">
      <c r="B166" s="123"/>
      <c r="C166" s="23" t="s">
        <v>46</v>
      </c>
      <c r="D166" s="22">
        <v>3</v>
      </c>
      <c r="E166" s="22">
        <v>3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70.400000000000006</v>
      </c>
      <c r="U166" s="93">
        <v>0.2112</v>
      </c>
      <c r="V166" s="93">
        <v>0.2112</v>
      </c>
    </row>
    <row r="167" spans="2:22" s="26" customFormat="1" x14ac:dyDescent="0.2">
      <c r="B167" s="123"/>
      <c r="C167" s="23" t="s">
        <v>77</v>
      </c>
      <c r="D167" s="22"/>
      <c r="E167" s="22"/>
      <c r="F167" s="22">
        <v>15.84</v>
      </c>
      <c r="G167" s="22">
        <v>18.687999999999999</v>
      </c>
      <c r="H167" s="22">
        <v>12.948</v>
      </c>
      <c r="I167" s="22">
        <v>284.86</v>
      </c>
      <c r="J167" s="22">
        <v>207.66</v>
      </c>
      <c r="K167" s="22">
        <v>17.12</v>
      </c>
      <c r="L167" s="22">
        <v>23.16</v>
      </c>
      <c r="M167" s="22">
        <v>139.97999999999999</v>
      </c>
      <c r="N167" s="22">
        <v>1.3779999999999999</v>
      </c>
      <c r="O167" s="22">
        <v>2.9600000000000001E-2</v>
      </c>
      <c r="P167" s="22">
        <v>0.1082</v>
      </c>
      <c r="Q167" s="22">
        <v>0.1318</v>
      </c>
      <c r="R167" s="22">
        <v>4.9143999999999997</v>
      </c>
      <c r="S167" s="22">
        <v>1.48</v>
      </c>
      <c r="T167" s="22"/>
      <c r="U167" s="93">
        <v>19.3447</v>
      </c>
      <c r="V167" s="93">
        <v>19.3447</v>
      </c>
    </row>
    <row r="168" spans="2:22" x14ac:dyDescent="0.2">
      <c r="B168" s="123" t="s">
        <v>98</v>
      </c>
      <c r="C168" s="18" t="s">
        <v>99</v>
      </c>
      <c r="D168" s="52"/>
      <c r="E168" s="52">
        <v>50</v>
      </c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236"/>
      <c r="U168" s="206"/>
      <c r="V168" s="52"/>
    </row>
    <row r="169" spans="2:22" x14ac:dyDescent="0.2">
      <c r="B169" s="201"/>
      <c r="C169" s="209" t="s">
        <v>100</v>
      </c>
      <c r="D169" s="135">
        <v>50</v>
      </c>
      <c r="E169" s="135">
        <v>50</v>
      </c>
      <c r="F169" s="135">
        <v>0</v>
      </c>
      <c r="G169" s="135">
        <v>0</v>
      </c>
      <c r="H169" s="135">
        <v>0</v>
      </c>
      <c r="I169" s="135">
        <v>0</v>
      </c>
      <c r="J169" s="135">
        <v>0</v>
      </c>
      <c r="K169" s="135">
        <v>0</v>
      </c>
      <c r="L169" s="135">
        <v>0</v>
      </c>
      <c r="M169" s="135">
        <v>0</v>
      </c>
      <c r="N169" s="135">
        <v>0</v>
      </c>
      <c r="O169" s="135">
        <v>0</v>
      </c>
      <c r="P169" s="135">
        <v>0</v>
      </c>
      <c r="Q169" s="135">
        <v>0</v>
      </c>
      <c r="R169" s="135">
        <v>0</v>
      </c>
      <c r="S169" s="135">
        <v>0</v>
      </c>
      <c r="T169" s="206">
        <v>0</v>
      </c>
      <c r="U169" s="206">
        <v>0</v>
      </c>
      <c r="V169" s="206">
        <v>0</v>
      </c>
    </row>
    <row r="170" spans="2:22" ht="25.5" x14ac:dyDescent="0.2">
      <c r="B170" s="201"/>
      <c r="C170" s="209" t="s">
        <v>34</v>
      </c>
      <c r="D170" s="135">
        <v>2.5</v>
      </c>
      <c r="E170" s="135">
        <v>2.5</v>
      </c>
      <c r="F170" s="135">
        <v>0</v>
      </c>
      <c r="G170" s="135">
        <v>2.5</v>
      </c>
      <c r="H170" s="135">
        <v>0</v>
      </c>
      <c r="I170" s="135">
        <v>22.4</v>
      </c>
      <c r="J170" s="207">
        <v>0</v>
      </c>
      <c r="K170" s="135">
        <v>0</v>
      </c>
      <c r="L170" s="135">
        <v>0</v>
      </c>
      <c r="M170" s="208">
        <v>0</v>
      </c>
      <c r="N170" s="135">
        <v>0</v>
      </c>
      <c r="O170" s="135">
        <v>0</v>
      </c>
      <c r="P170" s="135">
        <v>0</v>
      </c>
      <c r="Q170" s="135">
        <v>0</v>
      </c>
      <c r="R170" s="135">
        <v>0</v>
      </c>
      <c r="S170" s="135">
        <v>0</v>
      </c>
      <c r="T170" s="206">
        <v>0.21</v>
      </c>
      <c r="U170" s="206">
        <v>0.21</v>
      </c>
      <c r="V170" s="206">
        <v>0.21</v>
      </c>
    </row>
    <row r="171" spans="2:22" x14ac:dyDescent="0.2">
      <c r="B171" s="201"/>
      <c r="C171" s="209" t="s">
        <v>38</v>
      </c>
      <c r="D171" s="135">
        <v>2.5</v>
      </c>
      <c r="E171" s="135">
        <v>2.5</v>
      </c>
      <c r="F171" s="135">
        <v>0.3</v>
      </c>
      <c r="G171" s="135">
        <v>0</v>
      </c>
      <c r="H171" s="135">
        <v>1.7</v>
      </c>
      <c r="I171" s="135">
        <v>8.4</v>
      </c>
      <c r="J171" s="207">
        <v>4</v>
      </c>
      <c r="K171" s="135">
        <v>0.6</v>
      </c>
      <c r="L171" s="135">
        <v>1.1000000000000001</v>
      </c>
      <c r="M171" s="211">
        <v>2.9</v>
      </c>
      <c r="N171" s="135">
        <v>0.05</v>
      </c>
      <c r="O171" s="135">
        <v>0</v>
      </c>
      <c r="P171" s="135">
        <v>0</v>
      </c>
      <c r="Q171" s="135">
        <v>0</v>
      </c>
      <c r="R171" s="135">
        <v>0.03</v>
      </c>
      <c r="S171" s="135">
        <v>0</v>
      </c>
      <c r="T171" s="206">
        <v>7.0000000000000007E-2</v>
      </c>
      <c r="U171" s="206">
        <v>7.0000000000000007E-2</v>
      </c>
      <c r="V171" s="206">
        <v>7.0000000000000007E-2</v>
      </c>
    </row>
    <row r="172" spans="2:22" x14ac:dyDescent="0.2">
      <c r="B172" s="201"/>
      <c r="C172" s="209" t="s">
        <v>36</v>
      </c>
      <c r="D172" s="135">
        <v>2</v>
      </c>
      <c r="E172" s="135">
        <v>2</v>
      </c>
      <c r="F172" s="135">
        <v>0.1</v>
      </c>
      <c r="G172" s="135">
        <v>0</v>
      </c>
      <c r="H172" s="135">
        <v>0.4</v>
      </c>
      <c r="I172" s="135">
        <v>2</v>
      </c>
      <c r="J172" s="135">
        <v>17.5</v>
      </c>
      <c r="K172" s="211">
        <v>0.4</v>
      </c>
      <c r="L172" s="135">
        <v>1</v>
      </c>
      <c r="M172" s="211">
        <v>1.4</v>
      </c>
      <c r="N172" s="135">
        <v>0.05</v>
      </c>
      <c r="O172" s="135">
        <v>0</v>
      </c>
      <c r="P172" s="135">
        <v>0</v>
      </c>
      <c r="Q172" s="135">
        <v>0</v>
      </c>
      <c r="R172" s="135">
        <v>0.04</v>
      </c>
      <c r="S172" s="135">
        <v>0.9</v>
      </c>
      <c r="T172" s="206">
        <v>0.24</v>
      </c>
      <c r="U172" s="206">
        <v>0.24</v>
      </c>
      <c r="V172" s="206">
        <v>0.24</v>
      </c>
    </row>
    <row r="173" spans="2:22" x14ac:dyDescent="0.2">
      <c r="B173" s="201"/>
      <c r="C173" s="209" t="s">
        <v>32</v>
      </c>
      <c r="D173" s="138">
        <v>5</v>
      </c>
      <c r="E173" s="138">
        <v>4</v>
      </c>
      <c r="F173" s="138">
        <v>0.06</v>
      </c>
      <c r="G173" s="138">
        <v>0</v>
      </c>
      <c r="H173" s="138">
        <v>0.28000000000000003</v>
      </c>
      <c r="I173" s="138">
        <v>1.4</v>
      </c>
      <c r="J173" s="138">
        <v>8</v>
      </c>
      <c r="K173" s="138">
        <v>1</v>
      </c>
      <c r="L173" s="138">
        <v>1.5</v>
      </c>
      <c r="M173" s="138">
        <v>2.2000000000000002</v>
      </c>
      <c r="N173" s="138">
        <v>0</v>
      </c>
      <c r="O173" s="138">
        <v>0</v>
      </c>
      <c r="P173" s="138">
        <v>0</v>
      </c>
      <c r="Q173" s="138">
        <v>0</v>
      </c>
      <c r="R173" s="138">
        <v>0.04</v>
      </c>
      <c r="S173" s="138">
        <v>0.2</v>
      </c>
      <c r="T173" s="206">
        <v>0.16</v>
      </c>
      <c r="U173" s="206">
        <v>0.16</v>
      </c>
      <c r="V173" s="206">
        <v>0.16</v>
      </c>
    </row>
    <row r="174" spans="2:22" s="67" customFormat="1" x14ac:dyDescent="0.2">
      <c r="B174" s="218"/>
      <c r="C174" s="78" t="s">
        <v>33</v>
      </c>
      <c r="D174" s="239">
        <v>1.2</v>
      </c>
      <c r="E174" s="240">
        <v>1</v>
      </c>
      <c r="F174" s="74">
        <v>0.01</v>
      </c>
      <c r="G174" s="74">
        <v>0</v>
      </c>
      <c r="H174" s="74">
        <v>0.08</v>
      </c>
      <c r="I174" s="74">
        <v>0.41</v>
      </c>
      <c r="J174" s="75">
        <v>1.8</v>
      </c>
      <c r="K174" s="74">
        <v>0.31</v>
      </c>
      <c r="L174" s="74">
        <v>0.14000000000000001</v>
      </c>
      <c r="M174" s="75">
        <v>0.6</v>
      </c>
      <c r="N174" s="74">
        <v>0</v>
      </c>
      <c r="O174" s="74">
        <v>0</v>
      </c>
      <c r="P174" s="74">
        <v>0</v>
      </c>
      <c r="Q174" s="74">
        <v>0</v>
      </c>
      <c r="R174" s="74">
        <v>0</v>
      </c>
      <c r="S174" s="74">
        <v>0.1</v>
      </c>
      <c r="T174" s="219">
        <v>0.04</v>
      </c>
      <c r="U174" s="139">
        <v>0.04</v>
      </c>
      <c r="V174" s="139">
        <v>0.04</v>
      </c>
    </row>
    <row r="175" spans="2:22" x14ac:dyDescent="0.2">
      <c r="B175" s="218"/>
      <c r="C175" s="78" t="s">
        <v>30</v>
      </c>
      <c r="D175" s="241">
        <v>0.75</v>
      </c>
      <c r="E175" s="241">
        <v>0.75</v>
      </c>
      <c r="F175" s="241">
        <v>0</v>
      </c>
      <c r="G175" s="241">
        <v>0</v>
      </c>
      <c r="H175" s="241">
        <v>0.7</v>
      </c>
      <c r="I175" s="241">
        <v>2.8</v>
      </c>
      <c r="J175" s="241">
        <v>0.02</v>
      </c>
      <c r="K175" s="241">
        <v>0.01</v>
      </c>
      <c r="L175" s="241">
        <v>0</v>
      </c>
      <c r="M175" s="241">
        <v>0</v>
      </c>
      <c r="N175" s="241">
        <v>0</v>
      </c>
      <c r="O175" s="241">
        <v>0</v>
      </c>
      <c r="P175" s="241">
        <v>0</v>
      </c>
      <c r="Q175" s="241">
        <v>0</v>
      </c>
      <c r="R175" s="241">
        <v>0</v>
      </c>
      <c r="S175" s="241">
        <v>0</v>
      </c>
      <c r="T175" s="98">
        <v>0.04</v>
      </c>
      <c r="U175" s="206">
        <v>0.04</v>
      </c>
      <c r="V175" s="206">
        <v>0.04</v>
      </c>
    </row>
    <row r="176" spans="2:22" x14ac:dyDescent="0.2">
      <c r="B176" s="218"/>
      <c r="C176" s="78" t="s">
        <v>46</v>
      </c>
      <c r="D176" s="241">
        <v>0.5</v>
      </c>
      <c r="E176" s="241">
        <v>0.5</v>
      </c>
      <c r="F176" s="241">
        <v>0</v>
      </c>
      <c r="G176" s="241">
        <v>0</v>
      </c>
      <c r="H176" s="241">
        <v>0</v>
      </c>
      <c r="I176" s="241">
        <v>0</v>
      </c>
      <c r="J176" s="241">
        <v>0</v>
      </c>
      <c r="K176" s="241">
        <v>0</v>
      </c>
      <c r="L176" s="241">
        <v>0</v>
      </c>
      <c r="M176" s="241">
        <v>0</v>
      </c>
      <c r="N176" s="241">
        <v>0</v>
      </c>
      <c r="O176" s="241">
        <v>0</v>
      </c>
      <c r="P176" s="241">
        <v>0</v>
      </c>
      <c r="Q176" s="241">
        <v>0</v>
      </c>
      <c r="R176" s="241">
        <v>0</v>
      </c>
      <c r="S176" s="241">
        <v>0</v>
      </c>
      <c r="T176" s="98">
        <v>0.01</v>
      </c>
      <c r="U176" s="206">
        <v>0.01</v>
      </c>
      <c r="V176" s="206">
        <v>0.01</v>
      </c>
    </row>
    <row r="177" spans="2:22" x14ac:dyDescent="0.2">
      <c r="B177" s="218"/>
      <c r="C177" s="78" t="s">
        <v>39</v>
      </c>
      <c r="D177" s="241">
        <v>0.02</v>
      </c>
      <c r="E177" s="241">
        <v>0.02</v>
      </c>
      <c r="F177" s="241">
        <v>0</v>
      </c>
      <c r="G177" s="241">
        <v>0</v>
      </c>
      <c r="H177" s="241">
        <v>0</v>
      </c>
      <c r="I177" s="241">
        <v>0</v>
      </c>
      <c r="J177" s="241">
        <v>0</v>
      </c>
      <c r="K177" s="241">
        <v>0</v>
      </c>
      <c r="L177" s="241">
        <v>0</v>
      </c>
      <c r="M177" s="241">
        <v>0</v>
      </c>
      <c r="N177" s="241">
        <v>0</v>
      </c>
      <c r="O177" s="241">
        <v>0</v>
      </c>
      <c r="P177" s="241">
        <v>0</v>
      </c>
      <c r="Q177" s="241">
        <v>0</v>
      </c>
      <c r="R177" s="241">
        <v>0</v>
      </c>
      <c r="S177" s="241">
        <v>0</v>
      </c>
      <c r="T177" s="98">
        <v>0.01</v>
      </c>
      <c r="U177" s="206">
        <v>0.01</v>
      </c>
      <c r="V177" s="206">
        <v>0.01</v>
      </c>
    </row>
    <row r="178" spans="2:22" x14ac:dyDescent="0.2">
      <c r="B178" s="218"/>
      <c r="C178" s="242" t="s">
        <v>77</v>
      </c>
      <c r="D178" s="74"/>
      <c r="E178" s="74"/>
      <c r="F178" s="74">
        <v>0.47</v>
      </c>
      <c r="G178" s="74">
        <v>2.5</v>
      </c>
      <c r="H178" s="74">
        <v>3.16</v>
      </c>
      <c r="I178" s="74">
        <v>37.409999999999997</v>
      </c>
      <c r="J178" s="74">
        <v>31.67</v>
      </c>
      <c r="K178" s="74">
        <v>2.3199999999999998</v>
      </c>
      <c r="L178" s="74">
        <v>3.74</v>
      </c>
      <c r="M178" s="74">
        <v>7.04</v>
      </c>
      <c r="N178" s="74">
        <v>0.1</v>
      </c>
      <c r="O178" s="74">
        <v>0</v>
      </c>
      <c r="P178" s="74">
        <v>0</v>
      </c>
      <c r="Q178" s="74">
        <v>0</v>
      </c>
      <c r="R178" s="74">
        <v>0.11</v>
      </c>
      <c r="S178" s="74">
        <v>1.2</v>
      </c>
      <c r="T178" s="219">
        <v>0.77</v>
      </c>
      <c r="U178" s="139">
        <v>0.77</v>
      </c>
      <c r="V178" s="139">
        <v>0.77</v>
      </c>
    </row>
    <row r="179" spans="2:22" x14ac:dyDescent="0.2">
      <c r="B179" s="123" t="s">
        <v>57</v>
      </c>
      <c r="C179" s="137" t="s">
        <v>58</v>
      </c>
      <c r="D179" s="21">
        <v>180</v>
      </c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36"/>
      <c r="V179" s="52"/>
    </row>
    <row r="180" spans="2:22" x14ac:dyDescent="0.2">
      <c r="B180" s="201"/>
      <c r="C180" s="18" t="s">
        <v>31</v>
      </c>
      <c r="D180" s="135">
        <v>205</v>
      </c>
      <c r="E180" s="138">
        <v>154</v>
      </c>
      <c r="F180" s="141">
        <v>3.08</v>
      </c>
      <c r="G180" s="141">
        <v>0.6</v>
      </c>
      <c r="H180" s="141">
        <v>25.1</v>
      </c>
      <c r="I180" s="141">
        <v>118.6</v>
      </c>
      <c r="J180" s="141">
        <v>874.72</v>
      </c>
      <c r="K180" s="141">
        <v>15.4</v>
      </c>
      <c r="L180" s="141">
        <v>35.42</v>
      </c>
      <c r="M180" s="141">
        <v>89.3</v>
      </c>
      <c r="N180" s="141">
        <v>1.39</v>
      </c>
      <c r="O180" s="141">
        <v>0</v>
      </c>
      <c r="P180" s="141">
        <v>0.19</v>
      </c>
      <c r="Q180" s="141">
        <v>0.1</v>
      </c>
      <c r="R180" s="141">
        <v>2</v>
      </c>
      <c r="S180" s="141">
        <v>30.8</v>
      </c>
      <c r="T180" s="206">
        <v>7.33</v>
      </c>
      <c r="U180" s="141">
        <v>30.8</v>
      </c>
      <c r="V180" s="141">
        <v>30.8</v>
      </c>
    </row>
    <row r="181" spans="2:22" x14ac:dyDescent="0.2">
      <c r="B181" s="201"/>
      <c r="C181" s="209" t="s">
        <v>37</v>
      </c>
      <c r="D181" s="135">
        <v>6</v>
      </c>
      <c r="E181" s="135">
        <v>6</v>
      </c>
      <c r="F181" s="205">
        <v>0.13</v>
      </c>
      <c r="G181" s="205">
        <v>5.14</v>
      </c>
      <c r="H181" s="243">
        <v>0</v>
      </c>
      <c r="I181" s="205">
        <v>39.659999999999997</v>
      </c>
      <c r="J181" s="244">
        <v>1.4</v>
      </c>
      <c r="K181" s="244">
        <v>1.4</v>
      </c>
      <c r="L181" s="205">
        <v>0.18</v>
      </c>
      <c r="M181" s="244">
        <v>1.1000000000000001</v>
      </c>
      <c r="N181" s="205">
        <v>0</v>
      </c>
      <c r="O181" s="205">
        <v>0</v>
      </c>
      <c r="P181" s="205">
        <v>0</v>
      </c>
      <c r="Q181" s="205">
        <v>0</v>
      </c>
      <c r="R181" s="205">
        <v>0</v>
      </c>
      <c r="S181" s="205">
        <v>0</v>
      </c>
      <c r="T181" s="206">
        <v>1.8</v>
      </c>
      <c r="U181" s="205">
        <v>0</v>
      </c>
      <c r="V181" s="205">
        <v>0</v>
      </c>
    </row>
    <row r="182" spans="2:22" x14ac:dyDescent="0.2">
      <c r="B182" s="201"/>
      <c r="C182" s="209" t="s">
        <v>29</v>
      </c>
      <c r="D182" s="135">
        <v>28.4</v>
      </c>
      <c r="E182" s="135">
        <v>27</v>
      </c>
      <c r="F182" s="135">
        <v>0.78</v>
      </c>
      <c r="G182" s="135">
        <v>0.9</v>
      </c>
      <c r="H182" s="135">
        <v>1.32</v>
      </c>
      <c r="I182" s="135">
        <v>16.239999999999998</v>
      </c>
      <c r="J182" s="135">
        <v>40.880000000000003</v>
      </c>
      <c r="K182" s="135">
        <v>33.6</v>
      </c>
      <c r="L182" s="135">
        <v>3.92</v>
      </c>
      <c r="M182" s="135">
        <v>25.2</v>
      </c>
      <c r="N182" s="135">
        <v>0.03</v>
      </c>
      <c r="O182" s="135">
        <v>0</v>
      </c>
      <c r="P182" s="135">
        <v>0</v>
      </c>
      <c r="Q182" s="135">
        <v>0</v>
      </c>
      <c r="R182" s="135">
        <v>0</v>
      </c>
      <c r="S182" s="135">
        <v>0.36</v>
      </c>
      <c r="T182" s="206">
        <v>1.05</v>
      </c>
      <c r="U182" s="135">
        <v>0.36</v>
      </c>
      <c r="V182" s="135">
        <v>0.36</v>
      </c>
    </row>
    <row r="183" spans="2:22" x14ac:dyDescent="0.2">
      <c r="B183" s="201"/>
      <c r="C183" s="209" t="s">
        <v>46</v>
      </c>
      <c r="D183" s="135">
        <v>2</v>
      </c>
      <c r="E183" s="135">
        <v>2</v>
      </c>
      <c r="F183" s="135">
        <v>0</v>
      </c>
      <c r="G183" s="135">
        <v>0</v>
      </c>
      <c r="H183" s="135">
        <v>0</v>
      </c>
      <c r="I183" s="135">
        <v>0</v>
      </c>
      <c r="J183" s="135">
        <v>0</v>
      </c>
      <c r="K183" s="135">
        <v>0</v>
      </c>
      <c r="L183" s="135">
        <v>0</v>
      </c>
      <c r="M183" s="135">
        <v>0</v>
      </c>
      <c r="N183" s="135">
        <v>0</v>
      </c>
      <c r="O183" s="135">
        <v>0</v>
      </c>
      <c r="P183" s="135">
        <v>0</v>
      </c>
      <c r="Q183" s="135">
        <v>0</v>
      </c>
      <c r="R183" s="135">
        <v>0</v>
      </c>
      <c r="S183" s="135">
        <v>0</v>
      </c>
      <c r="T183" s="206">
        <v>0.02</v>
      </c>
      <c r="U183" s="135">
        <v>0</v>
      </c>
      <c r="V183" s="135">
        <v>0</v>
      </c>
    </row>
    <row r="184" spans="2:22" x14ac:dyDescent="0.2">
      <c r="B184" s="201"/>
      <c r="C184" s="209" t="s">
        <v>47</v>
      </c>
      <c r="D184" s="135"/>
      <c r="E184" s="135"/>
      <c r="F184" s="135">
        <v>3.99</v>
      </c>
      <c r="G184" s="135">
        <v>6.64</v>
      </c>
      <c r="H184" s="135">
        <v>26.5</v>
      </c>
      <c r="I184" s="135">
        <v>174.5</v>
      </c>
      <c r="J184" s="135">
        <v>916.98</v>
      </c>
      <c r="K184" s="135">
        <v>50.37</v>
      </c>
      <c r="L184" s="135">
        <v>39.520000000000003</v>
      </c>
      <c r="M184" s="135">
        <v>115.66</v>
      </c>
      <c r="N184" s="135">
        <v>1.42</v>
      </c>
      <c r="O184" s="135">
        <v>0</v>
      </c>
      <c r="P184" s="135">
        <v>0.19</v>
      </c>
      <c r="Q184" s="135">
        <v>0.1</v>
      </c>
      <c r="R184" s="135">
        <v>2</v>
      </c>
      <c r="S184" s="135">
        <v>31.16</v>
      </c>
      <c r="T184" s="206">
        <v>10.199999999999999</v>
      </c>
      <c r="U184" s="135">
        <v>31.16</v>
      </c>
      <c r="V184" s="135">
        <v>31.16</v>
      </c>
    </row>
    <row r="185" spans="2:22" x14ac:dyDescent="0.2">
      <c r="B185" s="123" t="s">
        <v>73</v>
      </c>
      <c r="C185" s="21" t="s">
        <v>74</v>
      </c>
      <c r="D185" s="52" t="s">
        <v>75</v>
      </c>
      <c r="E185" s="52"/>
      <c r="F185" s="52"/>
      <c r="G185" s="52"/>
      <c r="H185" s="52"/>
      <c r="I185" s="52"/>
      <c r="J185" s="52"/>
      <c r="K185" s="245"/>
      <c r="L185" s="52"/>
      <c r="M185" s="245"/>
      <c r="N185" s="52"/>
      <c r="O185" s="52"/>
      <c r="P185" s="52"/>
      <c r="Q185" s="52"/>
      <c r="R185" s="52"/>
      <c r="S185" s="52"/>
      <c r="T185" s="236"/>
      <c r="U185" s="236"/>
      <c r="V185" s="52"/>
    </row>
    <row r="186" spans="2:22" x14ac:dyDescent="0.2">
      <c r="B186" s="201"/>
      <c r="C186" s="135" t="s">
        <v>40</v>
      </c>
      <c r="D186" s="135">
        <v>50</v>
      </c>
      <c r="E186" s="135">
        <v>50</v>
      </c>
      <c r="F186" s="135">
        <v>0.1</v>
      </c>
      <c r="G186" s="135">
        <v>0</v>
      </c>
      <c r="H186" s="135">
        <v>0</v>
      </c>
      <c r="I186" s="135">
        <v>0.8</v>
      </c>
      <c r="J186" s="135">
        <v>12.4</v>
      </c>
      <c r="K186" s="135">
        <v>2.5</v>
      </c>
      <c r="L186" s="135">
        <v>2.2000000000000002</v>
      </c>
      <c r="M186" s="135">
        <v>4.0999999999999996</v>
      </c>
      <c r="N186" s="135">
        <v>0.4</v>
      </c>
      <c r="O186" s="135">
        <v>0</v>
      </c>
      <c r="P186" s="135">
        <v>0</v>
      </c>
      <c r="Q186" s="135">
        <v>0</v>
      </c>
      <c r="R186" s="135">
        <v>0</v>
      </c>
      <c r="S186" s="135">
        <v>0</v>
      </c>
      <c r="T186" s="206">
        <v>0.41</v>
      </c>
      <c r="U186" s="206">
        <v>0.41</v>
      </c>
      <c r="V186" s="206">
        <v>0.41</v>
      </c>
    </row>
    <row r="187" spans="2:22" x14ac:dyDescent="0.2">
      <c r="B187" s="201"/>
      <c r="C187" s="209" t="s">
        <v>30</v>
      </c>
      <c r="D187" s="138">
        <v>15</v>
      </c>
      <c r="E187" s="138">
        <v>15</v>
      </c>
      <c r="F187" s="138">
        <v>0</v>
      </c>
      <c r="G187" s="138">
        <v>0</v>
      </c>
      <c r="H187" s="138">
        <v>15</v>
      </c>
      <c r="I187" s="138">
        <v>56.9</v>
      </c>
      <c r="J187" s="138">
        <v>0.5</v>
      </c>
      <c r="K187" s="138">
        <v>0.4</v>
      </c>
      <c r="L187" s="138">
        <v>0</v>
      </c>
      <c r="M187" s="138">
        <v>0</v>
      </c>
      <c r="N187" s="138">
        <v>0</v>
      </c>
      <c r="O187" s="138">
        <v>0</v>
      </c>
      <c r="P187" s="138">
        <v>0</v>
      </c>
      <c r="Q187" s="138">
        <v>0</v>
      </c>
      <c r="R187" s="138">
        <v>0</v>
      </c>
      <c r="S187" s="138">
        <v>0</v>
      </c>
      <c r="T187" s="206">
        <v>0.53</v>
      </c>
      <c r="U187" s="206">
        <v>0.53</v>
      </c>
      <c r="V187" s="206">
        <v>0.53</v>
      </c>
    </row>
    <row r="188" spans="2:22" x14ac:dyDescent="0.2">
      <c r="B188" s="201"/>
      <c r="C188" s="209" t="s">
        <v>35</v>
      </c>
      <c r="D188" s="135">
        <v>150</v>
      </c>
      <c r="E188" s="138">
        <v>150</v>
      </c>
      <c r="F188" s="141">
        <v>0</v>
      </c>
      <c r="G188" s="141">
        <v>0</v>
      </c>
      <c r="H188" s="141">
        <v>0</v>
      </c>
      <c r="I188" s="141">
        <v>0</v>
      </c>
      <c r="J188" s="141">
        <v>0</v>
      </c>
      <c r="K188" s="141">
        <v>0</v>
      </c>
      <c r="L188" s="141">
        <v>0</v>
      </c>
      <c r="M188" s="141">
        <v>0</v>
      </c>
      <c r="N188" s="141">
        <v>0</v>
      </c>
      <c r="O188" s="141">
        <v>0</v>
      </c>
      <c r="P188" s="141">
        <v>0</v>
      </c>
      <c r="Q188" s="141">
        <v>0</v>
      </c>
      <c r="R188" s="142">
        <v>0</v>
      </c>
      <c r="S188" s="143">
        <v>0</v>
      </c>
      <c r="T188" s="206">
        <v>0</v>
      </c>
      <c r="U188" s="206">
        <v>0</v>
      </c>
      <c r="V188" s="206">
        <v>0</v>
      </c>
    </row>
    <row r="189" spans="2:22" x14ac:dyDescent="0.2">
      <c r="B189" s="201"/>
      <c r="C189" s="18" t="s">
        <v>47</v>
      </c>
      <c r="D189" s="135"/>
      <c r="E189" s="135"/>
      <c r="F189" s="135">
        <v>0.1</v>
      </c>
      <c r="G189" s="135">
        <v>0</v>
      </c>
      <c r="H189" s="135">
        <v>15</v>
      </c>
      <c r="I189" s="135">
        <v>57.7</v>
      </c>
      <c r="J189" s="135">
        <v>12.9</v>
      </c>
      <c r="K189" s="135">
        <v>2.9</v>
      </c>
      <c r="L189" s="135">
        <v>2.2000000000000002</v>
      </c>
      <c r="M189" s="135">
        <v>4.12</v>
      </c>
      <c r="N189" s="135">
        <v>0.4</v>
      </c>
      <c r="O189" s="135">
        <v>0</v>
      </c>
      <c r="P189" s="135">
        <v>0</v>
      </c>
      <c r="Q189" s="135">
        <v>0</v>
      </c>
      <c r="R189" s="212">
        <v>0</v>
      </c>
      <c r="S189" s="80">
        <v>0</v>
      </c>
      <c r="T189" s="206">
        <v>0.94</v>
      </c>
      <c r="U189" s="206">
        <v>0.94</v>
      </c>
      <c r="V189" s="206">
        <v>0.94</v>
      </c>
    </row>
    <row r="190" spans="2:22" ht="25.5" x14ac:dyDescent="0.2">
      <c r="B190" s="123" t="s">
        <v>24</v>
      </c>
      <c r="C190" s="5" t="s">
        <v>105</v>
      </c>
      <c r="D190" s="3">
        <v>30</v>
      </c>
      <c r="E190" s="3">
        <v>30</v>
      </c>
      <c r="F190" s="14">
        <f>7.7*E190/100</f>
        <v>2.31</v>
      </c>
      <c r="G190" s="14">
        <f>3*E190/100</f>
        <v>0.9</v>
      </c>
      <c r="H190" s="14">
        <f>49.8*E190/100</f>
        <v>14.94</v>
      </c>
      <c r="I190" s="14">
        <f>262*E190/100</f>
        <v>78.599999999999994</v>
      </c>
      <c r="J190" s="16">
        <f>127*E190/100</f>
        <v>38.1</v>
      </c>
      <c r="K190" s="14">
        <f>26*E190/100</f>
        <v>7.8</v>
      </c>
      <c r="L190" s="14">
        <f>35*E190/100</f>
        <v>10.5</v>
      </c>
      <c r="M190" s="16">
        <f>83*E190/100</f>
        <v>24.9</v>
      </c>
      <c r="N190" s="14">
        <f>1.6*E190/100</f>
        <v>0.48</v>
      </c>
      <c r="O190" s="14">
        <f>0</f>
        <v>0</v>
      </c>
      <c r="P190" s="14">
        <f>0.16*E190/100</f>
        <v>4.8000000000000001E-2</v>
      </c>
      <c r="Q190" s="14">
        <f>0.08*E190/100</f>
        <v>2.4E-2</v>
      </c>
      <c r="R190" s="14">
        <f>1.54*E190/100</f>
        <v>0.46200000000000002</v>
      </c>
      <c r="S190" s="14">
        <v>0</v>
      </c>
      <c r="T190" s="3"/>
      <c r="U190" s="32">
        <v>29.292000000000002</v>
      </c>
      <c r="V190" s="32">
        <v>29.292000000000002</v>
      </c>
    </row>
    <row r="191" spans="2:22" x14ac:dyDescent="0.2">
      <c r="B191" s="123" t="s">
        <v>24</v>
      </c>
      <c r="C191" s="5" t="s">
        <v>106</v>
      </c>
      <c r="D191" s="3">
        <v>20</v>
      </c>
      <c r="E191" s="3">
        <v>20</v>
      </c>
      <c r="F191" s="14">
        <f>6.6*E191/100</f>
        <v>1.32</v>
      </c>
      <c r="G191" s="14">
        <f>1.2*E191/100</f>
        <v>0.24</v>
      </c>
      <c r="H191" s="14">
        <f>34.2*E191/100</f>
        <v>6.84</v>
      </c>
      <c r="I191" s="14">
        <f>181*E191/100</f>
        <v>36.200000000000003</v>
      </c>
      <c r="J191" s="14">
        <f>94*E191/100</f>
        <v>18.8</v>
      </c>
      <c r="K191" s="14">
        <f>34*E191/100</f>
        <v>6.8</v>
      </c>
      <c r="L191" s="14">
        <f>41*E191/100</f>
        <v>8.1999999999999993</v>
      </c>
      <c r="M191" s="14">
        <f>120*E191/100</f>
        <v>24</v>
      </c>
      <c r="N191" s="14">
        <f>2.3*E191/100</f>
        <v>0.46</v>
      </c>
      <c r="O191" s="14">
        <v>0</v>
      </c>
      <c r="P191" s="14">
        <f>0.11*E191/100</f>
        <v>2.2000000000000002E-2</v>
      </c>
      <c r="Q191" s="14">
        <f>0.08*E191/100</f>
        <v>1.6E-2</v>
      </c>
      <c r="R191" s="14">
        <f>0.64*E191/100</f>
        <v>0.128</v>
      </c>
      <c r="S191" s="14">
        <v>0</v>
      </c>
      <c r="T191" s="3"/>
      <c r="U191" s="32">
        <v>35.9</v>
      </c>
      <c r="V191" s="32">
        <v>35.9</v>
      </c>
    </row>
    <row r="192" spans="2:22" x14ac:dyDescent="0.2">
      <c r="B192" s="220"/>
      <c r="C192" s="42" t="s">
        <v>25</v>
      </c>
      <c r="D192" s="42"/>
      <c r="E192" s="42"/>
      <c r="F192" s="3">
        <v>33.415599999999998</v>
      </c>
      <c r="G192" s="3">
        <v>37.023699999999998</v>
      </c>
      <c r="H192" s="3">
        <v>110.0423</v>
      </c>
      <c r="I192" s="3">
        <v>851.63220000000001</v>
      </c>
      <c r="J192" s="3">
        <v>844.678</v>
      </c>
      <c r="K192" s="3">
        <v>69.936000000000007</v>
      </c>
      <c r="L192" s="3">
        <v>74.983000000000004</v>
      </c>
      <c r="M192" s="3">
        <v>297.27300000000002</v>
      </c>
      <c r="N192" s="3">
        <v>7.8335999999999997</v>
      </c>
      <c r="O192" s="3">
        <v>5.9749999999999998E-2</v>
      </c>
      <c r="P192" s="3">
        <v>0.30346000000000001</v>
      </c>
      <c r="Q192" s="3">
        <v>0.23143</v>
      </c>
      <c r="R192" s="50">
        <v>5.3277599999999996</v>
      </c>
      <c r="S192" s="3">
        <v>17.940000000000001</v>
      </c>
      <c r="T192" s="3"/>
      <c r="U192" s="32">
        <v>51.66</v>
      </c>
      <c r="V192" s="32">
        <v>51.66</v>
      </c>
    </row>
    <row r="193" spans="2:23" x14ac:dyDescent="0.2">
      <c r="B193" s="169"/>
      <c r="C193" s="196" t="s">
        <v>59</v>
      </c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70"/>
      <c r="S193" s="69"/>
      <c r="T193" s="69"/>
      <c r="U193" s="96"/>
      <c r="V193" s="96"/>
    </row>
    <row r="194" spans="2:23" x14ac:dyDescent="0.2">
      <c r="B194" s="69"/>
      <c r="C194" s="196" t="s">
        <v>1</v>
      </c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70"/>
      <c r="S194" s="69"/>
      <c r="T194" s="69"/>
      <c r="U194" s="96"/>
      <c r="V194" s="96"/>
    </row>
    <row r="195" spans="2:23" x14ac:dyDescent="0.2">
      <c r="B195" s="189" t="s">
        <v>4</v>
      </c>
      <c r="C195" s="190" t="s">
        <v>5</v>
      </c>
      <c r="D195" s="191"/>
      <c r="E195" s="25">
        <v>250</v>
      </c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2"/>
      <c r="S195" s="191"/>
      <c r="T195" s="192"/>
      <c r="U195" s="193"/>
      <c r="V195" s="52"/>
    </row>
    <row r="196" spans="2:23" x14ac:dyDescent="0.2">
      <c r="B196" s="189"/>
      <c r="C196" s="194" t="s">
        <v>31</v>
      </c>
      <c r="D196" s="191">
        <v>66.7</v>
      </c>
      <c r="E196" s="191">
        <v>50</v>
      </c>
      <c r="F196" s="191">
        <v>0.8</v>
      </c>
      <c r="G196" s="191">
        <v>0.16</v>
      </c>
      <c r="H196" s="191">
        <v>6.52</v>
      </c>
      <c r="I196" s="191">
        <v>30.8</v>
      </c>
      <c r="J196" s="191">
        <v>227.2</v>
      </c>
      <c r="K196" s="191">
        <v>4</v>
      </c>
      <c r="L196" s="191">
        <v>9.1999999999999993</v>
      </c>
      <c r="M196" s="191">
        <v>23.2</v>
      </c>
      <c r="N196" s="191">
        <v>0.36</v>
      </c>
      <c r="O196" s="191">
        <v>0</v>
      </c>
      <c r="P196" s="191">
        <v>4.8000000000000001E-2</v>
      </c>
      <c r="Q196" s="191">
        <v>2.8000000000000001E-2</v>
      </c>
      <c r="R196" s="192">
        <v>0.52</v>
      </c>
      <c r="S196" s="191">
        <v>8</v>
      </c>
      <c r="T196" s="192">
        <v>35.76</v>
      </c>
      <c r="U196" s="193">
        <v>2.39</v>
      </c>
      <c r="V196" s="193">
        <v>2.39</v>
      </c>
    </row>
    <row r="197" spans="2:23" ht="15.75" customHeight="1" x14ac:dyDescent="0.2">
      <c r="B197" s="189"/>
      <c r="C197" s="194" t="s">
        <v>45</v>
      </c>
      <c r="D197" s="191">
        <v>20.3</v>
      </c>
      <c r="E197" s="191">
        <v>20</v>
      </c>
      <c r="F197" s="191">
        <v>3.68</v>
      </c>
      <c r="G197" s="191">
        <v>0.25600000000000001</v>
      </c>
      <c r="H197" s="191">
        <v>8.1280000000000001</v>
      </c>
      <c r="I197" s="191">
        <v>50.24</v>
      </c>
      <c r="J197" s="191">
        <v>116.96</v>
      </c>
      <c r="K197" s="191">
        <v>14.24</v>
      </c>
      <c r="L197" s="191">
        <v>14.08</v>
      </c>
      <c r="M197" s="191">
        <v>1.1200000000000001</v>
      </c>
      <c r="N197" s="191">
        <v>1.1200000000000001</v>
      </c>
      <c r="O197" s="195">
        <v>0.01</v>
      </c>
      <c r="P197" s="191">
        <v>0.14399999999999999</v>
      </c>
      <c r="Q197" s="191">
        <v>2.9000000000000001E-2</v>
      </c>
      <c r="R197" s="192">
        <v>0.379</v>
      </c>
      <c r="S197" s="191">
        <v>0</v>
      </c>
      <c r="T197" s="192">
        <v>31.63</v>
      </c>
      <c r="U197" s="193">
        <v>0.64</v>
      </c>
      <c r="V197" s="193">
        <v>0.64</v>
      </c>
    </row>
    <row r="198" spans="2:23" s="26" customFormat="1" x14ac:dyDescent="0.2">
      <c r="B198" s="189"/>
      <c r="C198" s="194" t="s">
        <v>33</v>
      </c>
      <c r="D198" s="191">
        <v>12</v>
      </c>
      <c r="E198" s="191">
        <v>10</v>
      </c>
      <c r="F198" s="191">
        <v>0.12479999999999999</v>
      </c>
      <c r="G198" s="191">
        <v>9.5999999999999992E-3</v>
      </c>
      <c r="H198" s="191">
        <v>0.66239999999999999</v>
      </c>
      <c r="I198" s="191">
        <v>3.36</v>
      </c>
      <c r="J198" s="191">
        <v>19.2</v>
      </c>
      <c r="K198" s="191">
        <v>2.5920000000000001</v>
      </c>
      <c r="L198" s="191">
        <v>3.6480000000000001</v>
      </c>
      <c r="M198" s="191">
        <v>5.28</v>
      </c>
      <c r="N198" s="191">
        <v>6.7000000000000004E-2</v>
      </c>
      <c r="O198" s="191">
        <v>0</v>
      </c>
      <c r="P198" s="191">
        <v>6.0000000000000001E-3</v>
      </c>
      <c r="Q198" s="191">
        <v>7.0000000000000001E-3</v>
      </c>
      <c r="R198" s="192">
        <v>9.6000000000000002E-2</v>
      </c>
      <c r="S198" s="191">
        <v>0.48</v>
      </c>
      <c r="T198" s="192">
        <v>34.229999999999997</v>
      </c>
      <c r="U198" s="193">
        <v>0.41</v>
      </c>
      <c r="V198" s="193">
        <v>0.41</v>
      </c>
    </row>
    <row r="199" spans="2:23" x14ac:dyDescent="0.2">
      <c r="B199" s="189"/>
      <c r="C199" s="194" t="s">
        <v>32</v>
      </c>
      <c r="D199" s="191">
        <v>15.8</v>
      </c>
      <c r="E199" s="191">
        <v>12.5</v>
      </c>
      <c r="F199" s="191">
        <v>0.13</v>
      </c>
      <c r="G199" s="191">
        <v>0.01</v>
      </c>
      <c r="H199" s="191">
        <v>0.69</v>
      </c>
      <c r="I199" s="191">
        <v>3.5</v>
      </c>
      <c r="J199" s="191">
        <v>20</v>
      </c>
      <c r="K199" s="191">
        <v>2.7</v>
      </c>
      <c r="L199" s="191">
        <v>3.8</v>
      </c>
      <c r="M199" s="191">
        <v>5.5</v>
      </c>
      <c r="N199" s="191">
        <v>7.0000000000000007E-2</v>
      </c>
      <c r="O199" s="191">
        <v>0</v>
      </c>
      <c r="P199" s="191">
        <v>6.0000000000000001E-3</v>
      </c>
      <c r="Q199" s="191">
        <v>7.0000000000000001E-3</v>
      </c>
      <c r="R199" s="192">
        <v>0.1</v>
      </c>
      <c r="S199" s="191">
        <v>0.5</v>
      </c>
      <c r="T199" s="192">
        <v>34.6</v>
      </c>
      <c r="U199" s="193">
        <v>0.55000000000000004</v>
      </c>
      <c r="V199" s="193">
        <v>0.55000000000000004</v>
      </c>
      <c r="W199" s="81"/>
    </row>
    <row r="200" spans="2:23" x14ac:dyDescent="0.2">
      <c r="B200" s="189"/>
      <c r="C200" s="194" t="s">
        <v>34</v>
      </c>
      <c r="D200" s="191">
        <v>5</v>
      </c>
      <c r="E200" s="191">
        <v>5</v>
      </c>
      <c r="F200" s="191">
        <v>0</v>
      </c>
      <c r="G200" s="191">
        <v>3.996</v>
      </c>
      <c r="H200" s="191">
        <v>0</v>
      </c>
      <c r="I200" s="191">
        <v>35.96</v>
      </c>
      <c r="J200" s="191">
        <v>0</v>
      </c>
      <c r="K200" s="191">
        <v>0</v>
      </c>
      <c r="L200" s="191">
        <v>0</v>
      </c>
      <c r="M200" s="191">
        <v>0</v>
      </c>
      <c r="N200" s="191">
        <v>0</v>
      </c>
      <c r="O200" s="191">
        <v>0</v>
      </c>
      <c r="P200" s="191">
        <v>0</v>
      </c>
      <c r="Q200" s="191">
        <v>0</v>
      </c>
      <c r="R200" s="192">
        <v>0</v>
      </c>
      <c r="S200" s="191">
        <v>0</v>
      </c>
      <c r="T200" s="192">
        <v>70.400000000000006</v>
      </c>
      <c r="U200" s="193">
        <v>0.35</v>
      </c>
      <c r="V200" s="193">
        <v>0.35</v>
      </c>
      <c r="W200" s="81"/>
    </row>
    <row r="201" spans="2:23" x14ac:dyDescent="0.2">
      <c r="B201" s="189"/>
      <c r="C201" s="194" t="s">
        <v>46</v>
      </c>
      <c r="D201" s="191">
        <v>2.5</v>
      </c>
      <c r="E201" s="191">
        <v>2.5</v>
      </c>
      <c r="F201" s="191">
        <v>0</v>
      </c>
      <c r="G201" s="191">
        <v>0</v>
      </c>
      <c r="H201" s="191">
        <v>0</v>
      </c>
      <c r="I201" s="191">
        <v>0</v>
      </c>
      <c r="J201" s="191">
        <v>0</v>
      </c>
      <c r="K201" s="191">
        <v>0</v>
      </c>
      <c r="L201" s="191">
        <v>0</v>
      </c>
      <c r="M201" s="191">
        <v>0</v>
      </c>
      <c r="N201" s="191">
        <v>0</v>
      </c>
      <c r="O201" s="191">
        <v>0</v>
      </c>
      <c r="P201" s="191">
        <v>0</v>
      </c>
      <c r="Q201" s="191">
        <v>0</v>
      </c>
      <c r="R201" s="192">
        <v>0</v>
      </c>
      <c r="S201" s="191">
        <v>0</v>
      </c>
      <c r="T201" s="192">
        <v>11.13</v>
      </c>
      <c r="U201" s="193">
        <v>0.03</v>
      </c>
      <c r="V201" s="193">
        <v>0.03</v>
      </c>
      <c r="W201" s="81"/>
    </row>
    <row r="202" spans="2:23" x14ac:dyDescent="0.2">
      <c r="B202" s="189"/>
      <c r="C202" s="194" t="s">
        <v>35</v>
      </c>
      <c r="D202" s="191">
        <v>175</v>
      </c>
      <c r="E202" s="191">
        <v>175</v>
      </c>
      <c r="F202" s="191">
        <v>0</v>
      </c>
      <c r="G202" s="191">
        <v>0</v>
      </c>
      <c r="H202" s="191">
        <v>0</v>
      </c>
      <c r="I202" s="191">
        <v>0</v>
      </c>
      <c r="J202" s="191">
        <v>0</v>
      </c>
      <c r="K202" s="191">
        <v>0</v>
      </c>
      <c r="L202" s="191">
        <v>0</v>
      </c>
      <c r="M202" s="191">
        <v>0</v>
      </c>
      <c r="N202" s="191">
        <v>0</v>
      </c>
      <c r="O202" s="191">
        <v>0</v>
      </c>
      <c r="P202" s="191">
        <v>0</v>
      </c>
      <c r="Q202" s="191">
        <v>0</v>
      </c>
      <c r="R202" s="192">
        <v>0</v>
      </c>
      <c r="S202" s="191">
        <v>0</v>
      </c>
      <c r="T202" s="192">
        <v>0</v>
      </c>
      <c r="U202" s="193">
        <v>0</v>
      </c>
      <c r="V202" s="193">
        <v>0</v>
      </c>
      <c r="W202" s="81"/>
    </row>
    <row r="203" spans="2:23" x14ac:dyDescent="0.2">
      <c r="B203" s="189"/>
      <c r="C203" s="194" t="s">
        <v>47</v>
      </c>
      <c r="D203" s="191"/>
      <c r="E203" s="191"/>
      <c r="F203" s="191">
        <v>4.7300000000000004</v>
      </c>
      <c r="G203" s="191">
        <v>4.431</v>
      </c>
      <c r="H203" s="191">
        <v>16</v>
      </c>
      <c r="I203" s="191">
        <v>123.86</v>
      </c>
      <c r="J203" s="191">
        <v>383.36</v>
      </c>
      <c r="K203" s="191">
        <v>23.532</v>
      </c>
      <c r="L203" s="191">
        <v>30.728000000000002</v>
      </c>
      <c r="M203" s="191">
        <v>35.1</v>
      </c>
      <c r="N203" s="191">
        <v>1.617</v>
      </c>
      <c r="O203" s="191">
        <v>0</v>
      </c>
      <c r="P203" s="191">
        <v>0.20399999999999999</v>
      </c>
      <c r="Q203" s="191">
        <v>7.0999999999999994E-2</v>
      </c>
      <c r="R203" s="192">
        <v>1.095</v>
      </c>
      <c r="S203" s="191">
        <v>8.98</v>
      </c>
      <c r="T203" s="192"/>
      <c r="U203" s="193">
        <v>4.3600000000000003</v>
      </c>
      <c r="V203" s="193">
        <v>4.3600000000000003</v>
      </c>
      <c r="W203" s="81"/>
    </row>
    <row r="204" spans="2:23" hidden="1" x14ac:dyDescent="0.2">
      <c r="B204" s="69"/>
      <c r="C204" s="65" t="s">
        <v>35</v>
      </c>
      <c r="D204" s="69">
        <v>140</v>
      </c>
      <c r="E204" s="3">
        <v>140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26">
        <v>0</v>
      </c>
      <c r="U204" s="32">
        <v>0</v>
      </c>
      <c r="V204" s="96">
        <v>0.23455999999999999</v>
      </c>
      <c r="W204" s="81"/>
    </row>
    <row r="205" spans="2:23" hidden="1" x14ac:dyDescent="0.2">
      <c r="B205" s="69"/>
      <c r="C205" s="78" t="s">
        <v>77</v>
      </c>
      <c r="D205" s="69"/>
      <c r="E205" s="69"/>
      <c r="F205" s="36">
        <v>1.6168</v>
      </c>
      <c r="G205" s="36">
        <v>4.1580000000000004</v>
      </c>
      <c r="H205" s="36">
        <v>7.48</v>
      </c>
      <c r="I205" s="36">
        <v>74.652000000000001</v>
      </c>
      <c r="J205" s="37">
        <v>323.57</v>
      </c>
      <c r="K205" s="36">
        <v>30.84</v>
      </c>
      <c r="L205" s="36">
        <v>19.899999999999999</v>
      </c>
      <c r="M205" s="36">
        <v>42.3</v>
      </c>
      <c r="N205" s="36">
        <v>0.37180000000000002</v>
      </c>
      <c r="O205" s="36">
        <v>0</v>
      </c>
      <c r="P205" s="36">
        <v>5.4300000000000001E-2</v>
      </c>
      <c r="Q205" s="36">
        <v>4.9020000000000001E-2</v>
      </c>
      <c r="R205" s="36">
        <v>0.83340000000000003</v>
      </c>
      <c r="S205" s="36">
        <v>28.37</v>
      </c>
      <c r="T205" s="26"/>
      <c r="U205" s="96">
        <v>3.9561060000000001</v>
      </c>
      <c r="V205" s="96">
        <v>0.34599999999999997</v>
      </c>
      <c r="W205" s="81"/>
    </row>
    <row r="206" spans="2:23" ht="25.5" x14ac:dyDescent="0.2">
      <c r="B206" s="69" t="s">
        <v>140</v>
      </c>
      <c r="C206" s="5" t="s">
        <v>139</v>
      </c>
      <c r="D206" s="69"/>
      <c r="E206" s="3">
        <v>140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26"/>
      <c r="U206" s="32"/>
      <c r="V206" s="96"/>
      <c r="W206" s="81"/>
    </row>
    <row r="207" spans="2:23" x14ac:dyDescent="0.2">
      <c r="B207" s="69"/>
      <c r="C207" s="78" t="s">
        <v>141</v>
      </c>
      <c r="D207" s="69">
        <v>2</v>
      </c>
      <c r="E207" s="69">
        <v>80</v>
      </c>
      <c r="F207" s="36">
        <v>14.57</v>
      </c>
      <c r="G207" s="36">
        <v>25.05</v>
      </c>
      <c r="H207" s="36">
        <v>2.1280000000000001</v>
      </c>
      <c r="I207" s="36">
        <v>292.52</v>
      </c>
      <c r="J207" s="37">
        <v>10</v>
      </c>
      <c r="K207" s="36">
        <v>9</v>
      </c>
      <c r="L207" s="36">
        <v>3.5</v>
      </c>
      <c r="M207" s="36">
        <v>0.8</v>
      </c>
      <c r="N207" s="36">
        <v>12.3</v>
      </c>
      <c r="O207" s="36">
        <v>0.16</v>
      </c>
      <c r="P207" s="36">
        <v>0</v>
      </c>
      <c r="Q207" s="36">
        <v>0</v>
      </c>
      <c r="R207" s="36">
        <v>0</v>
      </c>
      <c r="S207" s="36">
        <v>0</v>
      </c>
      <c r="T207" s="26"/>
      <c r="U207" s="96">
        <v>5.5</v>
      </c>
      <c r="V207" s="96">
        <v>11</v>
      </c>
      <c r="W207" s="81"/>
    </row>
    <row r="208" spans="2:23" x14ac:dyDescent="0.2">
      <c r="B208" s="69"/>
      <c r="C208" s="65" t="s">
        <v>142</v>
      </c>
      <c r="D208" s="69">
        <v>30</v>
      </c>
      <c r="E208" s="69">
        <v>30</v>
      </c>
      <c r="F208" s="69">
        <v>1.4</v>
      </c>
      <c r="G208" s="69">
        <v>15.1</v>
      </c>
      <c r="H208" s="69">
        <v>2.35</v>
      </c>
      <c r="I208" s="69">
        <v>29</v>
      </c>
      <c r="J208" s="86">
        <v>73</v>
      </c>
      <c r="K208" s="69">
        <v>60</v>
      </c>
      <c r="L208" s="69">
        <v>7</v>
      </c>
      <c r="M208" s="85">
        <v>45</v>
      </c>
      <c r="N208" s="69">
        <v>0.05</v>
      </c>
      <c r="O208" s="69">
        <v>0.01</v>
      </c>
      <c r="P208" s="69">
        <v>0.02</v>
      </c>
      <c r="Q208" s="96">
        <v>0.35</v>
      </c>
      <c r="R208" s="69">
        <v>0.05</v>
      </c>
      <c r="S208" s="69">
        <v>0.8</v>
      </c>
      <c r="T208" s="26"/>
      <c r="U208" s="96">
        <v>55</v>
      </c>
      <c r="V208" s="96">
        <v>1.8149999999999999</v>
      </c>
    </row>
    <row r="209" spans="2:22" x14ac:dyDescent="0.2">
      <c r="B209" s="69"/>
      <c r="C209" s="65" t="s">
        <v>143</v>
      </c>
      <c r="D209" s="69">
        <v>16</v>
      </c>
      <c r="E209" s="69">
        <v>16</v>
      </c>
      <c r="F209" s="69">
        <v>0</v>
      </c>
      <c r="G209" s="69">
        <v>6.89</v>
      </c>
      <c r="H209" s="69">
        <v>0.12</v>
      </c>
      <c r="I209" s="69">
        <v>62.8</v>
      </c>
      <c r="J209" s="86">
        <v>2.19</v>
      </c>
      <c r="K209" s="69">
        <v>2.09</v>
      </c>
      <c r="L209" s="69">
        <v>0.28999999999999998</v>
      </c>
      <c r="M209" s="85">
        <v>1.81</v>
      </c>
      <c r="N209" s="69">
        <v>0</v>
      </c>
      <c r="O209" s="69">
        <v>0</v>
      </c>
      <c r="P209" s="69">
        <v>0</v>
      </c>
      <c r="Q209" s="96">
        <v>0</v>
      </c>
      <c r="R209" s="69">
        <v>0</v>
      </c>
      <c r="S209" s="69">
        <v>0</v>
      </c>
      <c r="T209" s="26"/>
      <c r="U209" s="96">
        <v>337.8</v>
      </c>
      <c r="V209" s="96">
        <v>5.4047999999999998</v>
      </c>
    </row>
    <row r="210" spans="2:22" x14ac:dyDescent="0.2">
      <c r="B210" s="69"/>
      <c r="C210" s="65" t="s">
        <v>144</v>
      </c>
      <c r="D210" s="69">
        <v>33</v>
      </c>
      <c r="E210" s="69">
        <v>32</v>
      </c>
      <c r="F210" s="69">
        <v>7.7</v>
      </c>
      <c r="G210" s="69">
        <v>16.73</v>
      </c>
      <c r="H210" s="69">
        <v>0</v>
      </c>
      <c r="I210" s="69">
        <v>182.7</v>
      </c>
      <c r="J210" s="86">
        <v>154</v>
      </c>
      <c r="K210" s="69">
        <v>24.5</v>
      </c>
      <c r="L210" s="69">
        <v>14</v>
      </c>
      <c r="M210" s="85">
        <v>111.3</v>
      </c>
      <c r="N210" s="69">
        <v>1.26</v>
      </c>
      <c r="O210" s="69">
        <v>0</v>
      </c>
      <c r="P210" s="69">
        <v>0</v>
      </c>
      <c r="Q210" s="96">
        <v>0</v>
      </c>
      <c r="R210" s="69">
        <v>0</v>
      </c>
      <c r="S210" s="69">
        <v>0</v>
      </c>
      <c r="T210" s="26"/>
      <c r="U210" s="96">
        <v>260</v>
      </c>
      <c r="V210" s="96">
        <v>8.58</v>
      </c>
    </row>
    <row r="211" spans="2:22" ht="15" customHeight="1" x14ac:dyDescent="0.2">
      <c r="B211" s="69"/>
      <c r="C211" s="65" t="s">
        <v>145</v>
      </c>
      <c r="D211" s="69">
        <v>2</v>
      </c>
      <c r="E211" s="69">
        <v>2</v>
      </c>
      <c r="F211" s="69">
        <v>0</v>
      </c>
      <c r="G211" s="69">
        <v>0</v>
      </c>
      <c r="H211" s="69">
        <v>0</v>
      </c>
      <c r="I211" s="69">
        <v>0</v>
      </c>
      <c r="J211" s="86">
        <v>0</v>
      </c>
      <c r="K211" s="69">
        <v>0</v>
      </c>
      <c r="L211" s="69">
        <v>0</v>
      </c>
      <c r="M211" s="85">
        <v>0</v>
      </c>
      <c r="N211" s="69">
        <v>0</v>
      </c>
      <c r="O211" s="69">
        <v>0</v>
      </c>
      <c r="P211" s="69">
        <v>0</v>
      </c>
      <c r="Q211" s="96">
        <v>0</v>
      </c>
      <c r="R211" s="69">
        <v>0</v>
      </c>
      <c r="S211" s="69">
        <v>0</v>
      </c>
      <c r="T211" s="26"/>
      <c r="U211" s="96">
        <v>11.63</v>
      </c>
      <c r="V211" s="96">
        <v>0.02</v>
      </c>
    </row>
    <row r="212" spans="2:22" ht="24" customHeight="1" x14ac:dyDescent="0.2">
      <c r="B212" s="69" t="s">
        <v>148</v>
      </c>
      <c r="C212" s="5" t="s">
        <v>147</v>
      </c>
      <c r="D212" s="69"/>
      <c r="E212" s="27">
        <v>50</v>
      </c>
      <c r="F212" s="69"/>
      <c r="G212" s="69"/>
      <c r="H212" s="69"/>
      <c r="I212" s="69"/>
      <c r="J212" s="86"/>
      <c r="K212" s="69"/>
      <c r="L212" s="69"/>
      <c r="M212" s="85"/>
      <c r="N212" s="69"/>
      <c r="O212" s="69"/>
      <c r="P212" s="69"/>
      <c r="Q212" s="96"/>
      <c r="R212" s="69"/>
      <c r="S212" s="69"/>
      <c r="T212" s="26"/>
      <c r="U212" s="96"/>
      <c r="V212" s="96"/>
    </row>
    <row r="213" spans="2:22" hidden="1" x14ac:dyDescent="0.2">
      <c r="B213" s="69"/>
      <c r="C213" s="39" t="s">
        <v>47</v>
      </c>
      <c r="D213" s="69"/>
      <c r="E213" s="69"/>
      <c r="F213" s="3">
        <f>F207+F208</f>
        <v>15.97</v>
      </c>
      <c r="G213" s="3">
        <f t="shared" ref="G213:S213" si="8">G207+G208</f>
        <v>40.15</v>
      </c>
      <c r="H213" s="3">
        <f t="shared" si="8"/>
        <v>4.4779999999999998</v>
      </c>
      <c r="I213" s="3">
        <f t="shared" si="8"/>
        <v>321.52</v>
      </c>
      <c r="J213" s="3">
        <f t="shared" si="8"/>
        <v>83</v>
      </c>
      <c r="K213" s="3">
        <f t="shared" si="8"/>
        <v>69</v>
      </c>
      <c r="L213" s="3">
        <f t="shared" si="8"/>
        <v>10.5</v>
      </c>
      <c r="M213" s="3">
        <f t="shared" si="8"/>
        <v>45.8</v>
      </c>
      <c r="N213" s="3">
        <f t="shared" si="8"/>
        <v>12.350000000000001</v>
      </c>
      <c r="O213" s="3">
        <f t="shared" si="8"/>
        <v>0.17</v>
      </c>
      <c r="P213" s="3">
        <f t="shared" si="8"/>
        <v>0.02</v>
      </c>
      <c r="Q213" s="3">
        <f t="shared" si="8"/>
        <v>0.35</v>
      </c>
      <c r="R213" s="3">
        <f t="shared" si="8"/>
        <v>0.05</v>
      </c>
      <c r="S213" s="3">
        <f t="shared" si="8"/>
        <v>0.8</v>
      </c>
      <c r="T213" s="26"/>
      <c r="U213" s="96"/>
      <c r="V213" s="96">
        <v>0</v>
      </c>
    </row>
    <row r="214" spans="2:22" x14ac:dyDescent="0.2">
      <c r="B214" s="69"/>
      <c r="C214" s="65" t="s">
        <v>149</v>
      </c>
      <c r="D214" s="69">
        <v>51.5</v>
      </c>
      <c r="E214" s="69">
        <v>50</v>
      </c>
      <c r="F214" s="69">
        <v>0.9</v>
      </c>
      <c r="G214" s="69">
        <v>0</v>
      </c>
      <c r="H214" s="3">
        <v>1.5</v>
      </c>
      <c r="I214" s="3">
        <v>11.5</v>
      </c>
      <c r="J214" s="3">
        <v>150</v>
      </c>
      <c r="K214" s="3">
        <v>24</v>
      </c>
      <c r="L214" s="3">
        <v>8</v>
      </c>
      <c r="M214" s="3">
        <v>15.5</v>
      </c>
      <c r="N214" s="3">
        <v>0.3</v>
      </c>
      <c r="O214" s="3">
        <v>0</v>
      </c>
      <c r="P214" s="3">
        <v>0.01</v>
      </c>
      <c r="Q214" s="3">
        <v>0.01</v>
      </c>
      <c r="R214" s="50">
        <v>0.2</v>
      </c>
      <c r="S214" s="3">
        <v>15</v>
      </c>
      <c r="T214" s="26"/>
      <c r="U214" s="96">
        <v>75</v>
      </c>
      <c r="V214" s="96">
        <v>3.8250000000000002</v>
      </c>
    </row>
    <row r="215" spans="2:22" x14ac:dyDescent="0.2">
      <c r="B215" s="69"/>
      <c r="C215" s="5" t="s">
        <v>106</v>
      </c>
      <c r="D215" s="69">
        <v>20</v>
      </c>
      <c r="E215" s="69">
        <v>20</v>
      </c>
      <c r="F215" s="69">
        <v>1.32</v>
      </c>
      <c r="G215" s="69">
        <v>0.24</v>
      </c>
      <c r="H215" s="69">
        <v>6.84</v>
      </c>
      <c r="I215" s="69">
        <v>36.200000000000003</v>
      </c>
      <c r="J215" s="69">
        <v>18.8</v>
      </c>
      <c r="K215" s="69">
        <v>6.8</v>
      </c>
      <c r="L215" s="69">
        <v>8.1999999999999993</v>
      </c>
      <c r="M215" s="69">
        <v>24</v>
      </c>
      <c r="N215" s="69">
        <v>0.46</v>
      </c>
      <c r="O215" s="69">
        <v>0</v>
      </c>
      <c r="P215" s="69">
        <v>2.1999999999999999E-2</v>
      </c>
      <c r="Q215" s="69">
        <v>1.6E-2</v>
      </c>
      <c r="R215" s="70">
        <v>0.128</v>
      </c>
      <c r="S215" s="69">
        <v>0</v>
      </c>
      <c r="T215" s="69">
        <v>35.9</v>
      </c>
      <c r="U215" s="96">
        <v>0.71799999999999997</v>
      </c>
      <c r="V215" s="32">
        <v>3.9330280000000002</v>
      </c>
    </row>
    <row r="216" spans="2:22" s="26" customFormat="1" ht="25.5" x14ac:dyDescent="0.2">
      <c r="B216" s="69"/>
      <c r="C216" s="5" t="s">
        <v>105</v>
      </c>
      <c r="D216" s="69">
        <v>30</v>
      </c>
      <c r="E216" s="69">
        <v>30</v>
      </c>
      <c r="F216" s="69">
        <f>7.7*E216/100</f>
        <v>2.31</v>
      </c>
      <c r="G216" s="69">
        <f>3*E216/100</f>
        <v>0.9</v>
      </c>
      <c r="H216" s="69">
        <f>49.8*E216/100</f>
        <v>14.94</v>
      </c>
      <c r="I216" s="69">
        <f>262*E216/100</f>
        <v>78.599999999999994</v>
      </c>
      <c r="J216" s="85">
        <f>127*E216/100</f>
        <v>38.1</v>
      </c>
      <c r="K216" s="69">
        <f>26*E216/100</f>
        <v>7.8</v>
      </c>
      <c r="L216" s="69">
        <f>35*E216/100</f>
        <v>10.5</v>
      </c>
      <c r="M216" s="85">
        <f>83*E216/100</f>
        <v>24.9</v>
      </c>
      <c r="N216" s="69">
        <f>1.6*E216/100</f>
        <v>0.48</v>
      </c>
      <c r="O216" s="69">
        <f>0</f>
        <v>0</v>
      </c>
      <c r="P216" s="69">
        <f>0.16*E216/100</f>
        <v>4.8000000000000001E-2</v>
      </c>
      <c r="Q216" s="69">
        <f>0.08*E216/100</f>
        <v>2.4E-2</v>
      </c>
      <c r="R216" s="69">
        <f>1.54*E216/100</f>
        <v>0.46200000000000002</v>
      </c>
      <c r="S216" s="69">
        <v>0</v>
      </c>
      <c r="T216" s="3"/>
      <c r="U216" s="96">
        <v>31.99</v>
      </c>
      <c r="V216" s="69">
        <f>D238*U238/1000</f>
        <v>0.35</v>
      </c>
    </row>
    <row r="217" spans="2:22" x14ac:dyDescent="0.2">
      <c r="B217" s="69" t="s">
        <v>24</v>
      </c>
      <c r="C217" s="5" t="s">
        <v>74</v>
      </c>
      <c r="D217" s="69" t="s">
        <v>75</v>
      </c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70"/>
      <c r="S217" s="69"/>
      <c r="T217" s="69"/>
      <c r="U217" s="96"/>
      <c r="V217" s="84"/>
    </row>
    <row r="218" spans="2:22" x14ac:dyDescent="0.2">
      <c r="B218" s="69" t="s">
        <v>73</v>
      </c>
      <c r="C218" s="65" t="s">
        <v>146</v>
      </c>
      <c r="D218" s="69">
        <v>50</v>
      </c>
      <c r="E218" s="69">
        <v>50</v>
      </c>
      <c r="F218" s="69">
        <v>0.1</v>
      </c>
      <c r="G218" s="69">
        <v>0</v>
      </c>
      <c r="H218" s="69">
        <v>0</v>
      </c>
      <c r="I218" s="69">
        <v>0.8</v>
      </c>
      <c r="J218" s="69">
        <v>12.4</v>
      </c>
      <c r="K218" s="69">
        <v>2.5</v>
      </c>
      <c r="L218" s="69">
        <v>2.2000000000000002</v>
      </c>
      <c r="M218" s="69">
        <v>4.0999999999999996</v>
      </c>
      <c r="N218" s="69">
        <v>0.4</v>
      </c>
      <c r="O218" s="69">
        <v>0</v>
      </c>
      <c r="P218" s="69">
        <v>0</v>
      </c>
      <c r="Q218" s="69">
        <v>0</v>
      </c>
      <c r="R218" s="70">
        <v>0</v>
      </c>
      <c r="S218" s="69">
        <v>0</v>
      </c>
      <c r="T218" s="69">
        <v>412</v>
      </c>
      <c r="U218" s="96">
        <v>0.41199999999999998</v>
      </c>
      <c r="V218" s="52">
        <v>17.8</v>
      </c>
    </row>
    <row r="219" spans="2:22" x14ac:dyDescent="0.2">
      <c r="B219" s="69"/>
      <c r="C219" s="39" t="s">
        <v>30</v>
      </c>
      <c r="D219" s="3">
        <v>15</v>
      </c>
      <c r="E219" s="3">
        <v>15</v>
      </c>
      <c r="F219" s="3">
        <v>0</v>
      </c>
      <c r="G219" s="3">
        <v>0</v>
      </c>
      <c r="H219" s="3">
        <v>15</v>
      </c>
      <c r="I219" s="3">
        <v>56.9</v>
      </c>
      <c r="J219" s="3">
        <v>0.5</v>
      </c>
      <c r="K219" s="3">
        <v>0.4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50">
        <v>0</v>
      </c>
      <c r="S219" s="3">
        <v>0</v>
      </c>
      <c r="T219" s="69">
        <v>35.159999999999997</v>
      </c>
      <c r="U219" s="96">
        <v>0.52739999999999998</v>
      </c>
      <c r="V219" s="135">
        <v>0</v>
      </c>
    </row>
    <row r="220" spans="2:22" x14ac:dyDescent="0.2">
      <c r="B220" s="69"/>
      <c r="C220" s="5" t="s">
        <v>35</v>
      </c>
      <c r="D220" s="3">
        <v>150</v>
      </c>
      <c r="E220" s="3">
        <v>150</v>
      </c>
      <c r="F220" s="69">
        <v>0</v>
      </c>
      <c r="G220" s="69">
        <v>0</v>
      </c>
      <c r="H220" s="69">
        <v>0</v>
      </c>
      <c r="I220" s="69">
        <v>0</v>
      </c>
      <c r="J220" s="85">
        <v>0</v>
      </c>
      <c r="K220" s="69">
        <v>0</v>
      </c>
      <c r="L220" s="69">
        <v>0</v>
      </c>
      <c r="M220" s="85">
        <v>0</v>
      </c>
      <c r="N220" s="69">
        <v>0</v>
      </c>
      <c r="O220" s="69">
        <v>0</v>
      </c>
      <c r="P220" s="69">
        <v>0</v>
      </c>
      <c r="Q220" s="69">
        <v>0</v>
      </c>
      <c r="R220" s="69">
        <v>0</v>
      </c>
      <c r="S220" s="69">
        <v>0</v>
      </c>
      <c r="T220" s="3">
        <v>0</v>
      </c>
      <c r="U220" s="32">
        <v>0</v>
      </c>
      <c r="V220" s="135">
        <v>0.372</v>
      </c>
    </row>
    <row r="221" spans="2:22" x14ac:dyDescent="0.2">
      <c r="B221" s="69"/>
      <c r="C221" s="5" t="s">
        <v>47</v>
      </c>
      <c r="D221" s="3"/>
      <c r="E221" s="3"/>
      <c r="F221" s="69">
        <v>0.1</v>
      </c>
      <c r="G221" s="69">
        <v>0</v>
      </c>
      <c r="H221" s="69">
        <v>15</v>
      </c>
      <c r="I221" s="69">
        <v>57.7</v>
      </c>
      <c r="J221" s="69">
        <v>12.9</v>
      </c>
      <c r="K221" s="69">
        <v>2.9</v>
      </c>
      <c r="L221" s="69">
        <v>2.2000000000000002</v>
      </c>
      <c r="M221" s="69">
        <v>4.12</v>
      </c>
      <c r="N221" s="69">
        <v>0.4</v>
      </c>
      <c r="O221" s="69">
        <v>0</v>
      </c>
      <c r="P221" s="69">
        <v>0</v>
      </c>
      <c r="Q221" s="69">
        <v>0</v>
      </c>
      <c r="R221" s="69">
        <v>0</v>
      </c>
      <c r="S221" s="69">
        <v>0</v>
      </c>
      <c r="T221" s="3"/>
      <c r="U221" s="32">
        <v>0.93940000000000001</v>
      </c>
      <c r="V221" s="135">
        <v>0.82899999999999996</v>
      </c>
    </row>
    <row r="222" spans="2:22" x14ac:dyDescent="0.2">
      <c r="B222" s="69"/>
      <c r="C222" s="42" t="s">
        <v>25</v>
      </c>
      <c r="D222" s="42"/>
      <c r="E222" s="42"/>
      <c r="F222" s="42">
        <v>28.915900000000001</v>
      </c>
      <c r="G222" s="42">
        <v>30.662700000000001</v>
      </c>
      <c r="H222" s="42">
        <v>88.719399999999993</v>
      </c>
      <c r="I222" s="42">
        <v>666.63760000000002</v>
      </c>
      <c r="J222" s="42">
        <v>786.74599999999998</v>
      </c>
      <c r="K222" s="42">
        <v>131.678</v>
      </c>
      <c r="L222" s="42">
        <v>135.65799999999999</v>
      </c>
      <c r="M222" s="42">
        <v>183.2825</v>
      </c>
      <c r="N222" s="42">
        <v>8.1952200000000008</v>
      </c>
      <c r="O222" s="42">
        <v>6.3E-2</v>
      </c>
      <c r="P222" s="42">
        <v>0.51873999999999998</v>
      </c>
      <c r="Q222" s="42">
        <v>0.33509100000000003</v>
      </c>
      <c r="R222" s="42">
        <v>6.69116</v>
      </c>
      <c r="S222" s="42">
        <v>45.122500000000002</v>
      </c>
      <c r="T222" s="42"/>
      <c r="U222" s="153">
        <v>33.19</v>
      </c>
      <c r="V222" s="135">
        <v>0.88400000000000001</v>
      </c>
    </row>
    <row r="223" spans="2:22" x14ac:dyDescent="0.2">
      <c r="B223" s="169"/>
      <c r="C223" s="196" t="s">
        <v>60</v>
      </c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70"/>
      <c r="S223" s="69"/>
      <c r="T223" s="69"/>
      <c r="U223" s="96"/>
      <c r="V223" s="135"/>
    </row>
    <row r="224" spans="2:22" x14ac:dyDescent="0.2">
      <c r="B224" s="69"/>
      <c r="C224" s="196" t="s">
        <v>1</v>
      </c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70"/>
      <c r="S224" s="69"/>
      <c r="T224" s="69"/>
      <c r="U224" s="96"/>
      <c r="V224" s="138"/>
    </row>
    <row r="225" spans="2:22" x14ac:dyDescent="0.2">
      <c r="B225" s="69"/>
      <c r="C225" s="196" t="s">
        <v>92</v>
      </c>
      <c r="D225" s="69"/>
      <c r="E225" s="69">
        <v>250</v>
      </c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70"/>
      <c r="S225" s="69"/>
      <c r="T225" s="69"/>
      <c r="U225" s="96"/>
      <c r="V225" s="84"/>
    </row>
    <row r="226" spans="2:22" x14ac:dyDescent="0.2">
      <c r="B226" s="69" t="s">
        <v>91</v>
      </c>
      <c r="C226" s="65" t="s">
        <v>31</v>
      </c>
      <c r="D226" s="69">
        <v>100</v>
      </c>
      <c r="E226" s="69">
        <v>75</v>
      </c>
      <c r="F226" s="69">
        <v>1.5</v>
      </c>
      <c r="G226" s="69">
        <v>0.3</v>
      </c>
      <c r="H226" s="85">
        <v>12.3</v>
      </c>
      <c r="I226" s="96">
        <v>57.8</v>
      </c>
      <c r="J226" s="85">
        <v>426</v>
      </c>
      <c r="K226" s="69">
        <v>7.5</v>
      </c>
      <c r="L226" s="69">
        <v>17.25</v>
      </c>
      <c r="M226" s="69">
        <v>43.5</v>
      </c>
      <c r="N226" s="69">
        <v>0.67500000000000004</v>
      </c>
      <c r="O226" s="69">
        <v>0</v>
      </c>
      <c r="P226" s="69">
        <v>0.08</v>
      </c>
      <c r="Q226" s="69">
        <v>0</v>
      </c>
      <c r="R226" s="69">
        <v>0.97499999999999998</v>
      </c>
      <c r="S226" s="69">
        <v>15</v>
      </c>
      <c r="T226" s="69">
        <v>35.76</v>
      </c>
      <c r="U226" s="96">
        <v>3.58</v>
      </c>
      <c r="V226" s="84">
        <v>3.58</v>
      </c>
    </row>
    <row r="227" spans="2:22" x14ac:dyDescent="0.2">
      <c r="B227" s="69"/>
      <c r="C227" s="65" t="s">
        <v>114</v>
      </c>
      <c r="D227" s="69">
        <v>10</v>
      </c>
      <c r="E227" s="69">
        <v>10</v>
      </c>
      <c r="F227" s="69">
        <v>0.3</v>
      </c>
      <c r="G227" s="69">
        <v>0</v>
      </c>
      <c r="H227" s="85">
        <v>3.6</v>
      </c>
      <c r="I227" s="96">
        <v>16.5</v>
      </c>
      <c r="J227" s="85">
        <v>2.7</v>
      </c>
      <c r="K227" s="69">
        <v>0.17</v>
      </c>
      <c r="L227" s="69">
        <v>1.08</v>
      </c>
      <c r="M227" s="69">
        <v>4.8499999999999996</v>
      </c>
      <c r="N227" s="69">
        <v>0.08</v>
      </c>
      <c r="O227" s="69">
        <v>0</v>
      </c>
      <c r="P227" s="69">
        <v>0</v>
      </c>
      <c r="Q227" s="69">
        <v>0</v>
      </c>
      <c r="R227" s="69">
        <v>0.08</v>
      </c>
      <c r="S227" s="69">
        <v>0</v>
      </c>
      <c r="T227" s="69">
        <v>29.32</v>
      </c>
      <c r="U227" s="96">
        <v>0.28999999999999998</v>
      </c>
      <c r="V227" s="84">
        <v>0.28999999999999998</v>
      </c>
    </row>
    <row r="228" spans="2:22" x14ac:dyDescent="0.2">
      <c r="B228" s="123"/>
      <c r="C228" s="17" t="s">
        <v>32</v>
      </c>
      <c r="D228" s="14">
        <v>12.5</v>
      </c>
      <c r="E228" s="14">
        <v>10</v>
      </c>
      <c r="F228" s="14">
        <v>0.13</v>
      </c>
      <c r="G228" s="14">
        <v>0</v>
      </c>
      <c r="H228" s="16">
        <v>0.69</v>
      </c>
      <c r="I228" s="16">
        <v>3.5</v>
      </c>
      <c r="J228" s="14">
        <v>20</v>
      </c>
      <c r="K228" s="14">
        <v>2.7</v>
      </c>
      <c r="L228" s="14">
        <v>3.8</v>
      </c>
      <c r="M228" s="14">
        <v>5.5</v>
      </c>
      <c r="N228" s="14">
        <v>7.0000000000000007E-2</v>
      </c>
      <c r="O228" s="14">
        <v>0</v>
      </c>
      <c r="P228" s="14">
        <v>0</v>
      </c>
      <c r="Q228" s="14">
        <v>0</v>
      </c>
      <c r="R228" s="14">
        <v>0.1</v>
      </c>
      <c r="S228" s="14">
        <v>0.5</v>
      </c>
      <c r="T228" s="22">
        <v>34.6</v>
      </c>
      <c r="U228" s="93">
        <v>0.4325</v>
      </c>
      <c r="V228" s="93">
        <v>0.4325</v>
      </c>
    </row>
    <row r="229" spans="2:22" x14ac:dyDescent="0.2">
      <c r="B229" s="123"/>
      <c r="C229" s="17" t="s">
        <v>33</v>
      </c>
      <c r="D229" s="14">
        <v>12</v>
      </c>
      <c r="E229" s="14">
        <v>10</v>
      </c>
      <c r="F229" s="14">
        <v>0.14000000000000001</v>
      </c>
      <c r="G229" s="14">
        <v>0</v>
      </c>
      <c r="H229" s="16">
        <v>0.91</v>
      </c>
      <c r="I229" s="16">
        <v>4.0999999999999996</v>
      </c>
      <c r="J229" s="15">
        <v>17.5</v>
      </c>
      <c r="K229" s="14">
        <v>3.1</v>
      </c>
      <c r="L229" s="14">
        <v>1.4</v>
      </c>
      <c r="M229" s="16">
        <v>5.8</v>
      </c>
      <c r="N229" s="14">
        <v>0.08</v>
      </c>
      <c r="O229" s="14">
        <v>0</v>
      </c>
      <c r="P229" s="14">
        <v>0</v>
      </c>
      <c r="Q229" s="14">
        <v>0</v>
      </c>
      <c r="R229" s="14">
        <v>0</v>
      </c>
      <c r="S229" s="14">
        <v>1</v>
      </c>
      <c r="T229" s="22">
        <v>34.229999999999997</v>
      </c>
      <c r="U229" s="93">
        <v>0.41076000000000001</v>
      </c>
      <c r="V229" s="93">
        <v>0.41076000000000001</v>
      </c>
    </row>
    <row r="230" spans="2:22" ht="25.5" x14ac:dyDescent="0.2">
      <c r="B230" s="123"/>
      <c r="C230" s="17" t="s">
        <v>34</v>
      </c>
      <c r="D230" s="14">
        <v>2.5</v>
      </c>
      <c r="E230" s="14">
        <v>2.5</v>
      </c>
      <c r="F230" s="14">
        <v>0</v>
      </c>
      <c r="G230" s="14">
        <v>2.5</v>
      </c>
      <c r="H230" s="16">
        <v>0</v>
      </c>
      <c r="I230" s="16">
        <v>22.48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70.400000000000006</v>
      </c>
      <c r="U230" s="93">
        <v>0.17599999999999999</v>
      </c>
      <c r="V230" s="93">
        <v>0.17599999999999999</v>
      </c>
    </row>
    <row r="231" spans="2:22" x14ac:dyDescent="0.2">
      <c r="B231" s="123"/>
      <c r="C231" s="17" t="s">
        <v>46</v>
      </c>
      <c r="D231" s="14">
        <v>2.5</v>
      </c>
      <c r="E231" s="14">
        <v>2.5</v>
      </c>
      <c r="F231" s="14">
        <v>0</v>
      </c>
      <c r="G231" s="14">
        <v>0</v>
      </c>
      <c r="H231" s="16">
        <v>0</v>
      </c>
      <c r="I231" s="16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22">
        <v>11.13</v>
      </c>
      <c r="U231" s="93">
        <v>2.7824999999999999E-2</v>
      </c>
      <c r="V231" s="93">
        <v>2.7824999999999999E-2</v>
      </c>
    </row>
    <row r="232" spans="2:22" x14ac:dyDescent="0.2">
      <c r="B232" s="123"/>
      <c r="C232" s="17" t="s">
        <v>62</v>
      </c>
      <c r="D232" s="14">
        <v>187.5</v>
      </c>
      <c r="E232" s="14">
        <v>187.5</v>
      </c>
      <c r="F232" s="14">
        <v>0</v>
      </c>
      <c r="G232" s="14">
        <v>0</v>
      </c>
      <c r="H232" s="16">
        <v>0</v>
      </c>
      <c r="I232" s="16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22">
        <v>0</v>
      </c>
      <c r="U232" s="93">
        <v>0</v>
      </c>
      <c r="V232" s="93">
        <v>0</v>
      </c>
    </row>
    <row r="233" spans="2:22" x14ac:dyDescent="0.2">
      <c r="B233" s="123"/>
      <c r="C233" s="17" t="s">
        <v>77</v>
      </c>
      <c r="D233" s="14"/>
      <c r="E233" s="14"/>
      <c r="F233" s="14">
        <v>2.0699999999999998</v>
      </c>
      <c r="G233" s="14">
        <v>2.8</v>
      </c>
      <c r="H233" s="16">
        <v>17.45</v>
      </c>
      <c r="I233" s="16">
        <v>104.33</v>
      </c>
      <c r="J233" s="14">
        <v>466.2</v>
      </c>
      <c r="K233" s="14">
        <v>13.47</v>
      </c>
      <c r="L233" s="14">
        <v>23.53</v>
      </c>
      <c r="M233" s="14">
        <v>59.65</v>
      </c>
      <c r="N233" s="14">
        <v>0.90500000000000003</v>
      </c>
      <c r="O233" s="14">
        <v>0</v>
      </c>
      <c r="P233" s="14">
        <v>0.08</v>
      </c>
      <c r="Q233" s="14">
        <v>0</v>
      </c>
      <c r="R233" s="14">
        <v>1.155</v>
      </c>
      <c r="S233" s="14">
        <v>16.5</v>
      </c>
      <c r="U233" s="93">
        <v>4.9162850000000002</v>
      </c>
      <c r="V233" s="93">
        <v>4.9162850000000002</v>
      </c>
    </row>
    <row r="234" spans="2:22" x14ac:dyDescent="0.2">
      <c r="B234" s="3" t="s">
        <v>110</v>
      </c>
      <c r="C234" s="137" t="s">
        <v>160</v>
      </c>
      <c r="D234" s="21"/>
      <c r="E234" s="21">
        <v>100</v>
      </c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93"/>
      <c r="V234" s="52"/>
    </row>
    <row r="235" spans="2:22" s="67" customFormat="1" x14ac:dyDescent="0.2">
      <c r="B235" s="57"/>
      <c r="C235" s="135" t="s">
        <v>161</v>
      </c>
      <c r="D235" s="135">
        <v>100</v>
      </c>
      <c r="E235" s="138">
        <v>74</v>
      </c>
      <c r="F235" s="138">
        <v>13.09</v>
      </c>
      <c r="G235" s="138">
        <v>11.27</v>
      </c>
      <c r="H235" s="138">
        <v>0</v>
      </c>
      <c r="I235" s="138">
        <v>154</v>
      </c>
      <c r="J235" s="138">
        <v>165.2</v>
      </c>
      <c r="K235" s="140">
        <v>9.8000000000000007</v>
      </c>
      <c r="L235" s="140">
        <v>13.3</v>
      </c>
      <c r="M235" s="246">
        <v>112</v>
      </c>
      <c r="N235" s="138">
        <v>0.91</v>
      </c>
      <c r="O235" s="138">
        <v>0.03</v>
      </c>
      <c r="P235" s="138">
        <v>6.3E-2</v>
      </c>
      <c r="Q235" s="138">
        <v>0.105</v>
      </c>
      <c r="R235" s="138">
        <v>4.2699999999999996</v>
      </c>
      <c r="S235" s="140">
        <v>1.4</v>
      </c>
      <c r="T235" s="98">
        <v>329.03</v>
      </c>
      <c r="U235" s="96">
        <v>340</v>
      </c>
      <c r="V235" s="52">
        <v>34</v>
      </c>
    </row>
    <row r="236" spans="2:22" x14ac:dyDescent="0.2">
      <c r="B236" s="57"/>
      <c r="C236" s="135" t="s">
        <v>162</v>
      </c>
      <c r="D236" s="135">
        <v>18</v>
      </c>
      <c r="E236" s="135">
        <v>18</v>
      </c>
      <c r="F236" s="135">
        <v>1.232</v>
      </c>
      <c r="G236" s="135">
        <v>0.48</v>
      </c>
      <c r="H236" s="135">
        <v>7.968</v>
      </c>
      <c r="I236" s="135">
        <v>41.92</v>
      </c>
      <c r="J236" s="135">
        <v>20.3</v>
      </c>
      <c r="K236" s="211">
        <v>4.2</v>
      </c>
      <c r="L236" s="135">
        <v>5.6</v>
      </c>
      <c r="M236" s="211">
        <v>13.3</v>
      </c>
      <c r="N236" s="135">
        <v>0.25600000000000001</v>
      </c>
      <c r="O236" s="135">
        <v>0</v>
      </c>
      <c r="P236" s="135">
        <v>2.5999999999999999E-2</v>
      </c>
      <c r="Q236" s="135">
        <v>1.2999999999999999E-2</v>
      </c>
      <c r="R236" s="135">
        <v>0.246</v>
      </c>
      <c r="S236" s="135">
        <v>0</v>
      </c>
      <c r="T236" s="98">
        <v>29.92</v>
      </c>
      <c r="U236" s="96">
        <v>0.59</v>
      </c>
      <c r="V236" s="52">
        <v>0.59</v>
      </c>
    </row>
    <row r="237" spans="2:22" x14ac:dyDescent="0.2">
      <c r="B237" s="57"/>
      <c r="C237" s="135" t="s">
        <v>113</v>
      </c>
      <c r="D237" s="135">
        <v>24</v>
      </c>
      <c r="E237" s="135">
        <v>24</v>
      </c>
      <c r="F237" s="135">
        <v>0.748</v>
      </c>
      <c r="G237" s="135">
        <v>0.64400000000000002</v>
      </c>
      <c r="H237" s="135">
        <v>0</v>
      </c>
      <c r="I237" s="135">
        <v>8.8000000000000007</v>
      </c>
      <c r="J237" s="135">
        <v>9.4</v>
      </c>
      <c r="K237" s="211">
        <v>0.6</v>
      </c>
      <c r="L237" s="135">
        <v>0.76</v>
      </c>
      <c r="M237" s="211">
        <v>6.4</v>
      </c>
      <c r="N237" s="135">
        <v>5.1999999999999998E-2</v>
      </c>
      <c r="O237" s="135">
        <v>0</v>
      </c>
      <c r="P237" s="135">
        <v>4.0000000000000001E-3</v>
      </c>
      <c r="Q237" s="135">
        <v>6.0000000000000001E-3</v>
      </c>
      <c r="R237" s="135">
        <v>0.24399999999999999</v>
      </c>
      <c r="S237" s="135">
        <v>0.08</v>
      </c>
      <c r="T237" s="98">
        <v>36.83</v>
      </c>
      <c r="U237" s="32">
        <v>0</v>
      </c>
      <c r="V237" s="52">
        <v>0</v>
      </c>
    </row>
    <row r="238" spans="2:22" x14ac:dyDescent="0.2">
      <c r="B238" s="57"/>
      <c r="C238" s="135" t="s">
        <v>104</v>
      </c>
      <c r="D238" s="135">
        <v>10</v>
      </c>
      <c r="E238" s="135">
        <v>10</v>
      </c>
      <c r="F238" s="135">
        <v>0</v>
      </c>
      <c r="G238" s="135">
        <v>0</v>
      </c>
      <c r="H238" s="135">
        <v>0</v>
      </c>
      <c r="I238" s="135">
        <v>0</v>
      </c>
      <c r="J238" s="135">
        <v>0</v>
      </c>
      <c r="K238" s="211">
        <v>0</v>
      </c>
      <c r="L238" s="135">
        <v>0</v>
      </c>
      <c r="M238" s="211">
        <v>0</v>
      </c>
      <c r="N238" s="135">
        <v>0</v>
      </c>
      <c r="O238" s="135">
        <v>0</v>
      </c>
      <c r="P238" s="135">
        <v>0</v>
      </c>
      <c r="Q238" s="135">
        <v>0</v>
      </c>
      <c r="R238" s="135">
        <v>0</v>
      </c>
      <c r="S238" s="135">
        <v>0</v>
      </c>
      <c r="T238" s="98">
        <v>29.92</v>
      </c>
      <c r="U238" s="32">
        <v>35</v>
      </c>
      <c r="V238" s="52">
        <v>0.35</v>
      </c>
    </row>
    <row r="239" spans="2:22" x14ac:dyDescent="0.2">
      <c r="B239" s="57"/>
      <c r="C239" s="135" t="s">
        <v>34</v>
      </c>
      <c r="D239" s="135">
        <v>6</v>
      </c>
      <c r="E239" s="135">
        <v>6</v>
      </c>
      <c r="F239" s="135">
        <v>0.77</v>
      </c>
      <c r="G239" s="135">
        <v>0.3</v>
      </c>
      <c r="H239" s="135">
        <v>4.9800000000000004</v>
      </c>
      <c r="I239" s="135">
        <v>26.2</v>
      </c>
      <c r="J239" s="135">
        <v>12.7</v>
      </c>
      <c r="K239" s="135">
        <v>2.6</v>
      </c>
      <c r="L239" s="135">
        <v>3.5</v>
      </c>
      <c r="M239" s="135">
        <v>8.3000000000000007</v>
      </c>
      <c r="N239" s="135">
        <v>0.16</v>
      </c>
      <c r="O239" s="135">
        <v>0</v>
      </c>
      <c r="P239" s="135">
        <v>1.6E-2</v>
      </c>
      <c r="Q239" s="135">
        <v>8.0000000000000002E-3</v>
      </c>
      <c r="R239" s="135">
        <v>0.154</v>
      </c>
      <c r="S239" s="135">
        <v>0</v>
      </c>
      <c r="T239" s="98">
        <v>70.400000000000006</v>
      </c>
      <c r="U239" s="93">
        <v>83.43</v>
      </c>
      <c r="V239" s="21">
        <v>0.8</v>
      </c>
    </row>
    <row r="240" spans="2:22" x14ac:dyDescent="0.2">
      <c r="B240" s="57"/>
      <c r="C240" s="209" t="s">
        <v>46</v>
      </c>
      <c r="D240" s="135">
        <v>3</v>
      </c>
      <c r="E240" s="135">
        <v>3</v>
      </c>
      <c r="F240" s="135">
        <v>0</v>
      </c>
      <c r="G240" s="135">
        <v>0</v>
      </c>
      <c r="H240" s="135">
        <v>0</v>
      </c>
      <c r="I240" s="135">
        <v>0</v>
      </c>
      <c r="J240" s="135">
        <v>0</v>
      </c>
      <c r="K240" s="135">
        <v>0</v>
      </c>
      <c r="L240" s="135">
        <v>0</v>
      </c>
      <c r="M240" s="135">
        <v>0</v>
      </c>
      <c r="N240" s="135">
        <v>0</v>
      </c>
      <c r="O240" s="135">
        <v>0</v>
      </c>
      <c r="P240" s="135">
        <v>0</v>
      </c>
      <c r="Q240" s="135">
        <v>0</v>
      </c>
      <c r="R240" s="135">
        <v>0</v>
      </c>
      <c r="S240" s="135">
        <v>0</v>
      </c>
      <c r="T240" s="98">
        <v>11.13</v>
      </c>
      <c r="U240" s="93">
        <v>12.5</v>
      </c>
      <c r="V240" s="52">
        <v>0.12</v>
      </c>
    </row>
    <row r="241" spans="2:22" x14ac:dyDescent="0.2">
      <c r="B241" s="57"/>
      <c r="C241" s="18" t="s">
        <v>77</v>
      </c>
      <c r="D241" s="135"/>
      <c r="E241" s="135"/>
      <c r="F241" s="135">
        <v>15.84</v>
      </c>
      <c r="G241" s="135">
        <v>18.687999999999999</v>
      </c>
      <c r="H241" s="135">
        <v>12.948</v>
      </c>
      <c r="I241" s="135">
        <v>284.86</v>
      </c>
      <c r="J241" s="135">
        <v>207.66</v>
      </c>
      <c r="K241" s="135">
        <v>17.12</v>
      </c>
      <c r="L241" s="135">
        <v>23.16</v>
      </c>
      <c r="M241" s="135">
        <v>139.97999999999999</v>
      </c>
      <c r="N241" s="135">
        <v>1.3779999999999999</v>
      </c>
      <c r="O241" s="135">
        <v>0.03</v>
      </c>
      <c r="P241" s="135">
        <v>0.108</v>
      </c>
      <c r="Q241" s="135">
        <v>0.13200000000000001</v>
      </c>
      <c r="R241" s="212">
        <v>4.9139999999999997</v>
      </c>
      <c r="S241" s="80">
        <v>1.48</v>
      </c>
      <c r="T241" s="219"/>
      <c r="V241" s="52">
        <v>35.86</v>
      </c>
    </row>
    <row r="242" spans="2:22" x14ac:dyDescent="0.2">
      <c r="B242" s="123" t="s">
        <v>127</v>
      </c>
      <c r="C242" s="19" t="s">
        <v>128</v>
      </c>
      <c r="D242" s="20"/>
      <c r="E242" s="21">
        <v>150</v>
      </c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3"/>
      <c r="U242" s="32"/>
      <c r="V242" s="52"/>
    </row>
    <row r="243" spans="2:22" x14ac:dyDescent="0.2">
      <c r="B243" s="123"/>
      <c r="C243" s="56" t="s">
        <v>120</v>
      </c>
      <c r="D243" s="247">
        <v>213</v>
      </c>
      <c r="E243" s="247">
        <v>171</v>
      </c>
      <c r="F243" s="22">
        <f>1.8*E243/100</f>
        <v>3.0780000000000003</v>
      </c>
      <c r="G243" s="22">
        <v>0</v>
      </c>
      <c r="H243" s="22">
        <f>4.7*E243/100</f>
        <v>8.0370000000000008</v>
      </c>
      <c r="I243" s="22">
        <f>28*E243/100</f>
        <v>47.88</v>
      </c>
      <c r="J243" s="22">
        <f>300*E243/100</f>
        <v>513</v>
      </c>
      <c r="K243" s="22">
        <f>48*E243/100</f>
        <v>82.08</v>
      </c>
      <c r="L243" s="22">
        <f>16*E243/100</f>
        <v>27.36</v>
      </c>
      <c r="M243" s="22">
        <f>31*E243/100</f>
        <v>53.01</v>
      </c>
      <c r="N243" s="22">
        <v>0</v>
      </c>
      <c r="O243" s="22">
        <v>0</v>
      </c>
      <c r="P243" s="22">
        <v>0</v>
      </c>
      <c r="Q243" s="22">
        <v>0</v>
      </c>
      <c r="R243" s="223">
        <v>0</v>
      </c>
      <c r="S243" s="22">
        <f>45*E243/100</f>
        <v>76.95</v>
      </c>
      <c r="U243" s="93">
        <v>35.630000000000003</v>
      </c>
      <c r="V243" s="52">
        <f t="shared" ref="V243:V252" si="9">D243*U243/1000</f>
        <v>7.5891900000000003</v>
      </c>
    </row>
    <row r="244" spans="2:22" x14ac:dyDescent="0.2">
      <c r="B244" s="123"/>
      <c r="C244" s="56" t="s">
        <v>129</v>
      </c>
      <c r="D244" s="247">
        <v>4.5</v>
      </c>
      <c r="E244" s="247">
        <v>4.5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U244" s="93">
        <v>0</v>
      </c>
      <c r="V244" s="52">
        <f t="shared" si="9"/>
        <v>0</v>
      </c>
    </row>
    <row r="245" spans="2:22" x14ac:dyDescent="0.2">
      <c r="B245" s="123"/>
      <c r="C245" s="56" t="s">
        <v>76</v>
      </c>
      <c r="D245" s="247">
        <v>6</v>
      </c>
      <c r="E245" s="247">
        <v>6</v>
      </c>
      <c r="F245" s="14">
        <v>0</v>
      </c>
      <c r="G245" s="14">
        <f>99.9*E245/100</f>
        <v>5.9940000000000007</v>
      </c>
      <c r="H245" s="14">
        <v>0</v>
      </c>
      <c r="I245" s="14">
        <f>899*E245/100</f>
        <v>53.94</v>
      </c>
      <c r="J245" s="16">
        <v>0</v>
      </c>
      <c r="K245" s="14">
        <v>0</v>
      </c>
      <c r="L245" s="14">
        <v>0</v>
      </c>
      <c r="M245" s="16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U245" s="93">
        <v>83.43</v>
      </c>
      <c r="V245" s="52">
        <f t="shared" si="9"/>
        <v>0.50058000000000002</v>
      </c>
    </row>
    <row r="246" spans="2:22" ht="12.75" customHeight="1" x14ac:dyDescent="0.2">
      <c r="B246" s="123"/>
      <c r="C246" s="161" t="s">
        <v>36</v>
      </c>
      <c r="D246" s="159">
        <v>3.6</v>
      </c>
      <c r="E246" s="162">
        <v>3.6</v>
      </c>
      <c r="F246" s="34">
        <f>4.8*E246/100</f>
        <v>0.17280000000000001</v>
      </c>
      <c r="G246" s="34">
        <v>0</v>
      </c>
      <c r="H246" s="34">
        <f>19*E246/100</f>
        <v>0.68400000000000005</v>
      </c>
      <c r="I246" s="34">
        <f>102*E246/100</f>
        <v>3.6719999999999997</v>
      </c>
      <c r="J246" s="34">
        <f>875*E246/100</f>
        <v>31.5</v>
      </c>
      <c r="K246" s="34">
        <f>20*E246/100</f>
        <v>0.72</v>
      </c>
      <c r="L246" s="34">
        <f>50*E246/100</f>
        <v>1.8</v>
      </c>
      <c r="M246" s="34">
        <f>68*E246/100</f>
        <v>2.448</v>
      </c>
      <c r="N246" s="34">
        <f>2.3*E246/100</f>
        <v>8.2799999999999999E-2</v>
      </c>
      <c r="O246" s="34">
        <v>0</v>
      </c>
      <c r="P246" s="34">
        <v>0</v>
      </c>
      <c r="Q246" s="34">
        <v>0</v>
      </c>
      <c r="R246" s="34">
        <v>0</v>
      </c>
      <c r="S246" s="34">
        <f>45*E246/100</f>
        <v>1.62</v>
      </c>
      <c r="T246" s="3"/>
      <c r="U246" s="96">
        <v>120</v>
      </c>
      <c r="V246" s="84">
        <f t="shared" si="9"/>
        <v>0.432</v>
      </c>
    </row>
    <row r="247" spans="2:22" x14ac:dyDescent="0.2">
      <c r="B247" s="123"/>
      <c r="C247" s="184" t="s">
        <v>32</v>
      </c>
      <c r="D247" s="159">
        <v>4.5</v>
      </c>
      <c r="E247" s="159">
        <v>3.8</v>
      </c>
      <c r="F247" s="34">
        <f>1.3*E247/100</f>
        <v>4.9399999999999993E-2</v>
      </c>
      <c r="G247" s="34">
        <v>0</v>
      </c>
      <c r="H247" s="34">
        <f>6.9*E247/100</f>
        <v>0.26219999999999999</v>
      </c>
      <c r="I247" s="34">
        <f>35*E247/100</f>
        <v>1.33</v>
      </c>
      <c r="J247" s="34">
        <f>200*E247/100</f>
        <v>7.6</v>
      </c>
      <c r="K247" s="34">
        <f>27*E247/100</f>
        <v>1.026</v>
      </c>
      <c r="L247" s="34">
        <f>38*E247/100</f>
        <v>1.444</v>
      </c>
      <c r="M247" s="34">
        <f>55*E247/100</f>
        <v>2.09</v>
      </c>
      <c r="N247" s="34">
        <v>0</v>
      </c>
      <c r="O247" s="34">
        <v>0</v>
      </c>
      <c r="P247" s="34">
        <v>0</v>
      </c>
      <c r="Q247" s="34">
        <v>0</v>
      </c>
      <c r="R247" s="34">
        <f>1*E247/100</f>
        <v>3.7999999999999999E-2</v>
      </c>
      <c r="S247" s="34">
        <f>5*E247/100</f>
        <v>0.19</v>
      </c>
      <c r="U247" s="93">
        <v>32.71</v>
      </c>
      <c r="V247" s="84">
        <f t="shared" si="9"/>
        <v>0.14719499999999999</v>
      </c>
    </row>
    <row r="248" spans="2:22" x14ac:dyDescent="0.2">
      <c r="B248" s="123"/>
      <c r="C248" s="184" t="s">
        <v>33</v>
      </c>
      <c r="D248" s="159">
        <v>7.5</v>
      </c>
      <c r="E248" s="159">
        <v>6</v>
      </c>
      <c r="F248" s="69">
        <f>1.4*E248/100</f>
        <v>8.3999999999999991E-2</v>
      </c>
      <c r="G248" s="157">
        <v>0</v>
      </c>
      <c r="H248" s="157">
        <f>8.2*E248/100</f>
        <v>0.49199999999999994</v>
      </c>
      <c r="I248" s="157">
        <f>41*E248/100</f>
        <v>2.46</v>
      </c>
      <c r="J248" s="158">
        <f>175*E248/100</f>
        <v>10.5</v>
      </c>
      <c r="K248" s="157">
        <f>31*E248/100</f>
        <v>1.86</v>
      </c>
      <c r="L248" s="157">
        <f>14*E248/100</f>
        <v>0.84</v>
      </c>
      <c r="M248" s="158">
        <f>58*E248/100</f>
        <v>3.48</v>
      </c>
      <c r="N248" s="157">
        <v>0</v>
      </c>
      <c r="O248" s="157">
        <v>0</v>
      </c>
      <c r="P248" s="157">
        <v>0</v>
      </c>
      <c r="Q248" s="157">
        <v>0</v>
      </c>
      <c r="R248" s="157">
        <v>0</v>
      </c>
      <c r="S248" s="157">
        <f>10*E248/100</f>
        <v>0.6</v>
      </c>
      <c r="U248" s="93">
        <v>29.62</v>
      </c>
      <c r="V248" s="52">
        <f t="shared" si="9"/>
        <v>0.22215000000000001</v>
      </c>
    </row>
    <row r="249" spans="2:22" x14ac:dyDescent="0.2">
      <c r="B249" s="123"/>
      <c r="C249" s="184" t="s">
        <v>39</v>
      </c>
      <c r="D249" s="159">
        <v>1.2E-2</v>
      </c>
      <c r="E249" s="159">
        <v>1.2E-2</v>
      </c>
      <c r="F249" s="14">
        <v>0</v>
      </c>
      <c r="G249" s="14">
        <v>0</v>
      </c>
      <c r="H249" s="14">
        <v>0</v>
      </c>
      <c r="I249" s="14">
        <v>0</v>
      </c>
      <c r="J249" s="15">
        <v>0</v>
      </c>
      <c r="K249" s="14">
        <v>0</v>
      </c>
      <c r="L249" s="14">
        <v>0</v>
      </c>
      <c r="M249" s="16">
        <v>0</v>
      </c>
      <c r="N249" s="14">
        <v>0</v>
      </c>
      <c r="O249" s="14">
        <v>0</v>
      </c>
      <c r="P249" s="14">
        <v>0</v>
      </c>
      <c r="Q249" s="14">
        <v>0</v>
      </c>
      <c r="R249" s="204">
        <v>0</v>
      </c>
      <c r="S249" s="14">
        <v>0</v>
      </c>
      <c r="U249" s="93">
        <v>300</v>
      </c>
      <c r="V249" s="52">
        <f t="shared" si="9"/>
        <v>3.5999999999999999E-3</v>
      </c>
    </row>
    <row r="250" spans="2:22" x14ac:dyDescent="0.2">
      <c r="B250" s="123"/>
      <c r="C250" s="184" t="s">
        <v>38</v>
      </c>
      <c r="D250" s="159">
        <v>1.5</v>
      </c>
      <c r="E250" s="159">
        <v>1.5</v>
      </c>
      <c r="F250" s="14">
        <f>10.3*E250/100</f>
        <v>0.1545</v>
      </c>
      <c r="G250" s="14">
        <f>1.1*E250/100</f>
        <v>1.6500000000000001E-2</v>
      </c>
      <c r="H250" s="14">
        <f>69*E250/100</f>
        <v>1.0349999999999999</v>
      </c>
      <c r="I250" s="14">
        <f>334*E250/100</f>
        <v>5.01</v>
      </c>
      <c r="J250" s="16">
        <f>176*E250/100</f>
        <v>2.64</v>
      </c>
      <c r="K250" s="14">
        <f>24*E250/100</f>
        <v>0.36</v>
      </c>
      <c r="L250" s="14">
        <f>44*E250/100</f>
        <v>0.66</v>
      </c>
      <c r="M250" s="16">
        <f>115*E250/100</f>
        <v>1.7250000000000001</v>
      </c>
      <c r="N250" s="14">
        <f>2.1*E250/100</f>
        <v>3.15E-2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U250" s="93">
        <v>27.31</v>
      </c>
      <c r="V250" s="52">
        <f t="shared" si="9"/>
        <v>4.0964999999999994E-2</v>
      </c>
    </row>
    <row r="251" spans="2:22" x14ac:dyDescent="0.2">
      <c r="B251" s="123"/>
      <c r="C251" s="184" t="s">
        <v>30</v>
      </c>
      <c r="D251" s="159">
        <v>4.5</v>
      </c>
      <c r="E251" s="159">
        <v>4.5</v>
      </c>
      <c r="F251" s="84">
        <v>0</v>
      </c>
      <c r="G251" s="84">
        <v>0</v>
      </c>
      <c r="H251" s="84">
        <f>99.8*E251/100</f>
        <v>4.4909999999999997</v>
      </c>
      <c r="I251" s="84">
        <f>379*E251/100</f>
        <v>17.055</v>
      </c>
      <c r="J251" s="84">
        <f>3*E251/100</f>
        <v>0.13500000000000001</v>
      </c>
      <c r="K251" s="84">
        <f>2*E251/100</f>
        <v>0.09</v>
      </c>
      <c r="L251" s="84">
        <v>0</v>
      </c>
      <c r="M251" s="84">
        <v>0</v>
      </c>
      <c r="N251" s="84">
        <v>0</v>
      </c>
      <c r="O251" s="84">
        <v>0</v>
      </c>
      <c r="P251" s="84">
        <v>0</v>
      </c>
      <c r="Q251" s="84">
        <v>0</v>
      </c>
      <c r="R251" s="84">
        <v>0</v>
      </c>
      <c r="S251" s="84">
        <v>0</v>
      </c>
      <c r="U251" s="93">
        <v>50.97</v>
      </c>
      <c r="V251" s="52">
        <f t="shared" si="9"/>
        <v>0.22936500000000001</v>
      </c>
    </row>
    <row r="252" spans="2:22" x14ac:dyDescent="0.2">
      <c r="B252" s="123"/>
      <c r="C252" s="184" t="s">
        <v>46</v>
      </c>
      <c r="D252" s="159">
        <v>0.5</v>
      </c>
      <c r="E252" s="159">
        <v>0.5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204">
        <v>0</v>
      </c>
      <c r="S252" s="14">
        <v>0</v>
      </c>
      <c r="U252" s="93">
        <v>11.63</v>
      </c>
      <c r="V252" s="52">
        <f t="shared" si="9"/>
        <v>5.8150000000000007E-3</v>
      </c>
    </row>
    <row r="253" spans="2:22" x14ac:dyDescent="0.2">
      <c r="B253" s="123"/>
      <c r="C253" s="90" t="s">
        <v>77</v>
      </c>
      <c r="D253" s="196"/>
      <c r="E253" s="196"/>
      <c r="F253" s="3">
        <f>SUM(F243:F252)</f>
        <v>3.5387000000000004</v>
      </c>
      <c r="G253" s="3">
        <f t="shared" ref="G253:S253" si="10">SUM(G243:G252)</f>
        <v>6.0105000000000004</v>
      </c>
      <c r="H253" s="3">
        <f t="shared" si="10"/>
        <v>15.001199999999999</v>
      </c>
      <c r="I253" s="3">
        <f t="shared" si="10"/>
        <v>131.34699999999998</v>
      </c>
      <c r="J253" s="3">
        <f t="shared" si="10"/>
        <v>565.375</v>
      </c>
      <c r="K253" s="3">
        <f t="shared" si="10"/>
        <v>86.135999999999996</v>
      </c>
      <c r="L253" s="3">
        <f t="shared" si="10"/>
        <v>32.103999999999999</v>
      </c>
      <c r="M253" s="3">
        <f t="shared" si="10"/>
        <v>62.753</v>
      </c>
      <c r="N253" s="3">
        <f t="shared" si="10"/>
        <v>0.1143</v>
      </c>
      <c r="O253" s="3">
        <f t="shared" si="10"/>
        <v>0</v>
      </c>
      <c r="P253" s="3">
        <f t="shared" si="10"/>
        <v>0</v>
      </c>
      <c r="Q253" s="3">
        <f t="shared" si="10"/>
        <v>0</v>
      </c>
      <c r="R253" s="3">
        <f t="shared" si="10"/>
        <v>3.7999999999999999E-2</v>
      </c>
      <c r="S253" s="3">
        <f t="shared" si="10"/>
        <v>79.36</v>
      </c>
      <c r="V253" s="21">
        <f>SUM(V243:V252)</f>
        <v>9.1708599999999993</v>
      </c>
    </row>
    <row r="254" spans="2:22" x14ac:dyDescent="0.2">
      <c r="B254" s="123" t="s">
        <v>73</v>
      </c>
      <c r="C254" s="21" t="s">
        <v>74</v>
      </c>
      <c r="D254" s="52" t="s">
        <v>75</v>
      </c>
      <c r="E254" s="52"/>
      <c r="F254" s="52"/>
      <c r="G254" s="52"/>
      <c r="H254" s="52"/>
      <c r="I254" s="52"/>
      <c r="J254" s="52"/>
      <c r="K254" s="245"/>
      <c r="L254" s="52"/>
      <c r="M254" s="245"/>
      <c r="N254" s="52"/>
      <c r="O254" s="52"/>
      <c r="P254" s="52"/>
      <c r="Q254" s="52"/>
      <c r="R254" s="52"/>
      <c r="S254" s="52"/>
      <c r="T254" s="236"/>
      <c r="U254" s="236"/>
      <c r="V254" s="21"/>
    </row>
    <row r="255" spans="2:22" x14ac:dyDescent="0.2">
      <c r="B255" s="201"/>
      <c r="C255" s="135" t="s">
        <v>40</v>
      </c>
      <c r="D255" s="135">
        <v>50</v>
      </c>
      <c r="E255" s="135">
        <v>50</v>
      </c>
      <c r="F255" s="135">
        <v>0.1</v>
      </c>
      <c r="G255" s="135">
        <v>0</v>
      </c>
      <c r="H255" s="135">
        <v>0</v>
      </c>
      <c r="I255" s="135">
        <v>0.8</v>
      </c>
      <c r="J255" s="135">
        <v>12.4</v>
      </c>
      <c r="K255" s="135">
        <v>2.5</v>
      </c>
      <c r="L255" s="135">
        <v>2.2000000000000002</v>
      </c>
      <c r="M255" s="135">
        <v>4.0999999999999996</v>
      </c>
      <c r="N255" s="135">
        <v>0.4</v>
      </c>
      <c r="O255" s="135">
        <v>0</v>
      </c>
      <c r="P255" s="135">
        <v>0</v>
      </c>
      <c r="Q255" s="135">
        <v>0</v>
      </c>
      <c r="R255" s="135">
        <v>0</v>
      </c>
      <c r="S255" s="135">
        <v>0</v>
      </c>
      <c r="T255" s="206">
        <v>0.41</v>
      </c>
      <c r="U255" s="206">
        <v>0.41</v>
      </c>
      <c r="V255" s="206">
        <v>0.41</v>
      </c>
    </row>
    <row r="256" spans="2:22" x14ac:dyDescent="0.2">
      <c r="B256" s="201"/>
      <c r="C256" s="209" t="s">
        <v>30</v>
      </c>
      <c r="D256" s="138">
        <v>15</v>
      </c>
      <c r="E256" s="138">
        <v>15</v>
      </c>
      <c r="F256" s="138">
        <v>0</v>
      </c>
      <c r="G256" s="138">
        <v>0</v>
      </c>
      <c r="H256" s="138">
        <v>15</v>
      </c>
      <c r="I256" s="138">
        <v>56.9</v>
      </c>
      <c r="J256" s="138">
        <v>0.5</v>
      </c>
      <c r="K256" s="138">
        <v>0.4</v>
      </c>
      <c r="L256" s="138">
        <v>0</v>
      </c>
      <c r="M256" s="138">
        <v>0</v>
      </c>
      <c r="N256" s="138">
        <v>0</v>
      </c>
      <c r="O256" s="138">
        <v>0</v>
      </c>
      <c r="P256" s="138">
        <v>0</v>
      </c>
      <c r="Q256" s="138">
        <v>0</v>
      </c>
      <c r="R256" s="138">
        <v>0</v>
      </c>
      <c r="S256" s="138">
        <v>0</v>
      </c>
      <c r="T256" s="206">
        <v>0.53</v>
      </c>
      <c r="U256" s="206">
        <v>0.53</v>
      </c>
      <c r="V256" s="206">
        <v>0.53</v>
      </c>
    </row>
    <row r="257" spans="2:22" x14ac:dyDescent="0.2">
      <c r="B257" s="201"/>
      <c r="C257" s="209" t="s">
        <v>35</v>
      </c>
      <c r="D257" s="135">
        <v>150</v>
      </c>
      <c r="E257" s="138">
        <v>150</v>
      </c>
      <c r="F257" s="141">
        <v>0</v>
      </c>
      <c r="G257" s="141">
        <v>0</v>
      </c>
      <c r="H257" s="141">
        <v>0</v>
      </c>
      <c r="I257" s="141">
        <v>0</v>
      </c>
      <c r="J257" s="141">
        <v>0</v>
      </c>
      <c r="K257" s="141">
        <v>0</v>
      </c>
      <c r="L257" s="141">
        <v>0</v>
      </c>
      <c r="M257" s="141">
        <v>0</v>
      </c>
      <c r="N257" s="141">
        <v>0</v>
      </c>
      <c r="O257" s="141">
        <v>0</v>
      </c>
      <c r="P257" s="141">
        <v>0</v>
      </c>
      <c r="Q257" s="141">
        <v>0</v>
      </c>
      <c r="R257" s="142">
        <v>0</v>
      </c>
      <c r="S257" s="143">
        <v>0</v>
      </c>
      <c r="T257" s="206">
        <v>0</v>
      </c>
      <c r="U257" s="206">
        <v>0</v>
      </c>
      <c r="V257" s="206">
        <v>0</v>
      </c>
    </row>
    <row r="258" spans="2:22" ht="16.5" customHeight="1" x14ac:dyDescent="0.2">
      <c r="B258" s="201"/>
      <c r="C258" s="18" t="s">
        <v>47</v>
      </c>
      <c r="D258" s="135"/>
      <c r="E258" s="135"/>
      <c r="F258" s="135">
        <v>0.1</v>
      </c>
      <c r="G258" s="135">
        <v>0</v>
      </c>
      <c r="H258" s="135">
        <v>15</v>
      </c>
      <c r="I258" s="135">
        <v>57.7</v>
      </c>
      <c r="J258" s="135">
        <v>12.9</v>
      </c>
      <c r="K258" s="135">
        <v>2.9</v>
      </c>
      <c r="L258" s="135">
        <v>2.2000000000000002</v>
      </c>
      <c r="M258" s="135">
        <v>4.12</v>
      </c>
      <c r="N258" s="135">
        <v>0.4</v>
      </c>
      <c r="O258" s="135">
        <v>0</v>
      </c>
      <c r="P258" s="135">
        <v>0</v>
      </c>
      <c r="Q258" s="135">
        <v>0</v>
      </c>
      <c r="R258" s="212">
        <v>0</v>
      </c>
      <c r="S258" s="80">
        <v>0</v>
      </c>
      <c r="T258" s="206">
        <v>0.94</v>
      </c>
      <c r="U258" s="206">
        <v>0.94</v>
      </c>
      <c r="V258" s="206">
        <v>0.94</v>
      </c>
    </row>
    <row r="259" spans="2:22" x14ac:dyDescent="0.2">
      <c r="B259" s="220" t="s">
        <v>24</v>
      </c>
      <c r="C259" s="42" t="s">
        <v>105</v>
      </c>
      <c r="D259" s="42">
        <v>30</v>
      </c>
      <c r="E259" s="42">
        <v>30</v>
      </c>
      <c r="F259" s="42">
        <v>1.54</v>
      </c>
      <c r="G259" s="42">
        <v>0.6</v>
      </c>
      <c r="H259" s="42">
        <v>9.9600000000000009</v>
      </c>
      <c r="I259" s="42">
        <v>52.4</v>
      </c>
      <c r="J259" s="42">
        <v>25.4</v>
      </c>
      <c r="K259" s="42">
        <v>5.2</v>
      </c>
      <c r="L259" s="42">
        <v>7</v>
      </c>
      <c r="M259" s="42">
        <v>16.600000000000001</v>
      </c>
      <c r="N259" s="42">
        <v>0.32</v>
      </c>
      <c r="O259" s="42">
        <v>0</v>
      </c>
      <c r="P259" s="42">
        <v>3.2000000000000001E-2</v>
      </c>
      <c r="Q259" s="42">
        <v>1.6E-2</v>
      </c>
      <c r="R259" s="42">
        <v>0.308</v>
      </c>
      <c r="S259" s="42">
        <v>0</v>
      </c>
      <c r="T259" s="42">
        <v>29.29</v>
      </c>
      <c r="U259" s="153">
        <v>0.58584000000000003</v>
      </c>
      <c r="V259" s="153">
        <v>0.58584000000000003</v>
      </c>
    </row>
    <row r="260" spans="2:22" x14ac:dyDescent="0.2">
      <c r="B260" s="123" t="s">
        <v>24</v>
      </c>
      <c r="C260" s="25" t="s">
        <v>106</v>
      </c>
      <c r="D260" s="22">
        <v>20</v>
      </c>
      <c r="E260" s="22">
        <v>20</v>
      </c>
      <c r="F260" s="22">
        <v>1.32</v>
      </c>
      <c r="G260" s="22">
        <v>0.24</v>
      </c>
      <c r="H260" s="22">
        <v>6.84</v>
      </c>
      <c r="I260" s="22">
        <v>36.200000000000003</v>
      </c>
      <c r="J260" s="22">
        <v>18.8</v>
      </c>
      <c r="K260" s="22">
        <v>6.8</v>
      </c>
      <c r="L260" s="22">
        <v>8.1999999999999993</v>
      </c>
      <c r="M260" s="22">
        <v>24</v>
      </c>
      <c r="N260" s="22">
        <v>0.46</v>
      </c>
      <c r="O260" s="22">
        <v>0</v>
      </c>
      <c r="P260" s="22">
        <v>2.1999999999999999E-2</v>
      </c>
      <c r="Q260" s="22">
        <v>1.6E-2</v>
      </c>
      <c r="R260" s="223">
        <v>0.128</v>
      </c>
      <c r="S260" s="22">
        <v>0</v>
      </c>
      <c r="T260" s="22">
        <v>35.9</v>
      </c>
      <c r="U260" s="93">
        <v>0.71799999999999997</v>
      </c>
      <c r="V260" s="93">
        <v>0.71799999999999997</v>
      </c>
    </row>
    <row r="261" spans="2:22" x14ac:dyDescent="0.2">
      <c r="B261" s="123"/>
      <c r="C261" s="25" t="s">
        <v>25</v>
      </c>
      <c r="D261" s="22"/>
      <c r="E261" s="22"/>
      <c r="F261" s="3">
        <v>33.415599999999998</v>
      </c>
      <c r="G261" s="3">
        <v>37.023699999999998</v>
      </c>
      <c r="H261" s="3">
        <v>110.0423</v>
      </c>
      <c r="I261" s="3">
        <v>851.63220000000001</v>
      </c>
      <c r="J261" s="3">
        <v>844.678</v>
      </c>
      <c r="K261" s="3">
        <v>69.936000000000007</v>
      </c>
      <c r="L261" s="3">
        <v>74.983000000000004</v>
      </c>
      <c r="M261" s="3">
        <v>297.27300000000002</v>
      </c>
      <c r="N261" s="3">
        <v>7.8335999999999997</v>
      </c>
      <c r="O261" s="3">
        <v>5.9749999999999998E-2</v>
      </c>
      <c r="P261" s="3">
        <v>0.30346000000000001</v>
      </c>
      <c r="Q261" s="3">
        <v>0.23143</v>
      </c>
      <c r="R261" s="50">
        <v>5.3277599999999996</v>
      </c>
      <c r="S261" s="3">
        <v>17.940000000000001</v>
      </c>
      <c r="T261" s="3"/>
      <c r="U261" s="32">
        <v>51.66</v>
      </c>
      <c r="V261" s="32">
        <v>51.66</v>
      </c>
    </row>
    <row r="262" spans="2:22" x14ac:dyDescent="0.2">
      <c r="B262" s="123"/>
      <c r="C262" s="213" t="s">
        <v>61</v>
      </c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3"/>
      <c r="T262" s="14"/>
      <c r="V262" s="52"/>
    </row>
    <row r="263" spans="2:22" x14ac:dyDescent="0.2">
      <c r="B263" s="123"/>
      <c r="C263" s="213" t="s">
        <v>1</v>
      </c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3"/>
      <c r="T263" s="14"/>
      <c r="V263" s="52"/>
    </row>
    <row r="264" spans="2:22" ht="25.5" x14ac:dyDescent="0.2">
      <c r="B264" s="123" t="s">
        <v>2</v>
      </c>
      <c r="C264" s="18" t="s">
        <v>48</v>
      </c>
      <c r="D264" s="3"/>
      <c r="E264" s="3">
        <v>250</v>
      </c>
      <c r="F264" s="27"/>
      <c r="G264" s="27"/>
      <c r="H264" s="27" t="s">
        <v>138</v>
      </c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14"/>
      <c r="V264" s="21"/>
    </row>
    <row r="265" spans="2:22" x14ac:dyDescent="0.2">
      <c r="B265" s="123"/>
      <c r="C265" s="216" t="s">
        <v>41</v>
      </c>
      <c r="D265" s="22">
        <v>50</v>
      </c>
      <c r="E265" s="22">
        <v>40</v>
      </c>
      <c r="F265" s="22">
        <v>0.6</v>
      </c>
      <c r="G265" s="22">
        <v>0.04</v>
      </c>
      <c r="H265" s="22">
        <v>4</v>
      </c>
      <c r="I265" s="22">
        <v>16.8</v>
      </c>
      <c r="J265" s="22">
        <v>115.2</v>
      </c>
      <c r="K265" s="22">
        <v>14.8</v>
      </c>
      <c r="L265" s="22">
        <v>8.8000000000000007</v>
      </c>
      <c r="M265" s="22">
        <v>17.2</v>
      </c>
      <c r="N265" s="22">
        <v>0.56000000000000005</v>
      </c>
      <c r="O265" s="22">
        <v>0</v>
      </c>
      <c r="P265" s="22">
        <v>0</v>
      </c>
      <c r="Q265" s="22">
        <v>0</v>
      </c>
      <c r="R265" s="22">
        <v>0</v>
      </c>
      <c r="S265" s="22">
        <v>4</v>
      </c>
      <c r="T265" s="14">
        <v>1.39</v>
      </c>
      <c r="U265" s="93">
        <v>2.16</v>
      </c>
      <c r="V265" s="236">
        <v>2.16</v>
      </c>
    </row>
    <row r="266" spans="2:22" x14ac:dyDescent="0.2">
      <c r="B266" s="123"/>
      <c r="C266" s="209" t="s">
        <v>42</v>
      </c>
      <c r="D266" s="22">
        <v>25</v>
      </c>
      <c r="E266" s="22">
        <v>20</v>
      </c>
      <c r="F266" s="22">
        <v>0.36</v>
      </c>
      <c r="G266" s="22">
        <v>0.02</v>
      </c>
      <c r="H266" s="22">
        <v>0.9</v>
      </c>
      <c r="I266" s="22">
        <v>5.4</v>
      </c>
      <c r="J266" s="22">
        <v>60</v>
      </c>
      <c r="K266" s="22">
        <v>9.6</v>
      </c>
      <c r="L266" s="22">
        <v>3.2</v>
      </c>
      <c r="M266" s="22">
        <v>6.2</v>
      </c>
      <c r="N266" s="22">
        <v>0.12</v>
      </c>
      <c r="O266" s="22">
        <v>0</v>
      </c>
      <c r="P266" s="22">
        <v>0</v>
      </c>
      <c r="Q266" s="22">
        <v>0</v>
      </c>
      <c r="R266" s="22">
        <v>0</v>
      </c>
      <c r="S266" s="22">
        <v>9</v>
      </c>
      <c r="T266" s="14">
        <v>0.86</v>
      </c>
      <c r="U266" s="98">
        <v>1.43</v>
      </c>
      <c r="V266" s="206">
        <v>1.43</v>
      </c>
    </row>
    <row r="267" spans="2:22" x14ac:dyDescent="0.2">
      <c r="B267" s="123"/>
      <c r="C267" s="216" t="s">
        <v>31</v>
      </c>
      <c r="D267" s="22">
        <v>26.7</v>
      </c>
      <c r="E267" s="22">
        <v>20</v>
      </c>
      <c r="F267" s="22">
        <v>0.4</v>
      </c>
      <c r="G267" s="22">
        <v>0.08</v>
      </c>
      <c r="H267" s="22">
        <v>3.5</v>
      </c>
      <c r="I267" s="22">
        <v>16</v>
      </c>
      <c r="J267" s="22">
        <v>113.6</v>
      </c>
      <c r="K267" s="22">
        <v>2</v>
      </c>
      <c r="L267" s="22">
        <v>4.5999999999999996</v>
      </c>
      <c r="M267" s="22">
        <v>11.6</v>
      </c>
      <c r="N267" s="22">
        <v>0.18</v>
      </c>
      <c r="O267" s="22">
        <v>0</v>
      </c>
      <c r="P267" s="22">
        <v>0</v>
      </c>
      <c r="Q267" s="22">
        <v>0</v>
      </c>
      <c r="R267" s="22">
        <v>0.26</v>
      </c>
      <c r="S267" s="22">
        <v>4</v>
      </c>
      <c r="T267" s="14">
        <v>0.95</v>
      </c>
      <c r="U267" s="98">
        <v>0.55000000000000004</v>
      </c>
      <c r="V267" s="206">
        <v>0.55000000000000004</v>
      </c>
    </row>
    <row r="268" spans="2:22" x14ac:dyDescent="0.2">
      <c r="B268" s="123"/>
      <c r="C268" s="216" t="s">
        <v>32</v>
      </c>
      <c r="D268" s="22">
        <v>15.7</v>
      </c>
      <c r="E268" s="22">
        <v>12.5</v>
      </c>
      <c r="F268" s="22">
        <v>0.16</v>
      </c>
      <c r="G268" s="22">
        <v>0.01</v>
      </c>
      <c r="H268" s="22">
        <v>1.1000000000000001</v>
      </c>
      <c r="I268" s="22">
        <v>4.3</v>
      </c>
      <c r="J268" s="22">
        <v>25</v>
      </c>
      <c r="K268" s="22">
        <v>3.37</v>
      </c>
      <c r="L268" s="22">
        <v>4.75</v>
      </c>
      <c r="M268" s="22">
        <v>6.9</v>
      </c>
      <c r="N268" s="22">
        <v>0.08</v>
      </c>
      <c r="O268" s="22">
        <v>0</v>
      </c>
      <c r="P268" s="22">
        <v>0</v>
      </c>
      <c r="Q268" s="22">
        <v>0</v>
      </c>
      <c r="R268" s="22">
        <v>0.13</v>
      </c>
      <c r="S268" s="22">
        <v>1.25</v>
      </c>
      <c r="T268" s="14">
        <v>0.54</v>
      </c>
      <c r="U268" s="98">
        <v>0.41</v>
      </c>
      <c r="V268" s="206">
        <v>0.41</v>
      </c>
    </row>
    <row r="269" spans="2:22" x14ac:dyDescent="0.2">
      <c r="B269" s="123"/>
      <c r="C269" s="216" t="s">
        <v>33</v>
      </c>
      <c r="D269" s="22">
        <v>12</v>
      </c>
      <c r="E269" s="22">
        <v>10</v>
      </c>
      <c r="F269" s="22">
        <v>0.14000000000000001</v>
      </c>
      <c r="G269" s="22">
        <v>0</v>
      </c>
      <c r="H269" s="22">
        <v>0.9</v>
      </c>
      <c r="I269" s="22">
        <v>4.0999999999999996</v>
      </c>
      <c r="J269" s="22">
        <v>17.5</v>
      </c>
      <c r="K269" s="22">
        <v>3.1</v>
      </c>
      <c r="L269" s="22">
        <v>1.4</v>
      </c>
      <c r="M269" s="22">
        <v>5.8</v>
      </c>
      <c r="N269" s="22">
        <v>0.08</v>
      </c>
      <c r="O269" s="22">
        <v>0</v>
      </c>
      <c r="P269" s="22">
        <v>0</v>
      </c>
      <c r="Q269" s="22">
        <v>0</v>
      </c>
      <c r="R269" s="22">
        <v>0</v>
      </c>
      <c r="S269" s="22">
        <v>1</v>
      </c>
      <c r="T269" s="14">
        <v>0.41</v>
      </c>
      <c r="U269" s="98">
        <v>0.14000000000000001</v>
      </c>
      <c r="V269" s="206">
        <v>0.14000000000000001</v>
      </c>
    </row>
    <row r="270" spans="2:22" x14ac:dyDescent="0.2">
      <c r="B270" s="123"/>
      <c r="C270" s="216" t="s">
        <v>36</v>
      </c>
      <c r="D270" s="22">
        <v>3</v>
      </c>
      <c r="E270" s="22">
        <v>3</v>
      </c>
      <c r="F270" s="22">
        <v>0.17</v>
      </c>
      <c r="G270" s="22">
        <v>0</v>
      </c>
      <c r="H270" s="22">
        <v>0.8</v>
      </c>
      <c r="I270" s="22">
        <v>3.7</v>
      </c>
      <c r="J270" s="22">
        <v>31.5</v>
      </c>
      <c r="K270" s="22">
        <v>0.72</v>
      </c>
      <c r="L270" s="22">
        <v>1.8</v>
      </c>
      <c r="M270" s="22">
        <v>2.4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1.6</v>
      </c>
      <c r="T270" s="14">
        <v>0.53</v>
      </c>
      <c r="U270" s="98">
        <v>0.35</v>
      </c>
      <c r="V270" s="206">
        <v>0.35</v>
      </c>
    </row>
    <row r="271" spans="2:22" ht="25.5" x14ac:dyDescent="0.2">
      <c r="B271" s="123"/>
      <c r="C271" s="216" t="s">
        <v>34</v>
      </c>
      <c r="D271" s="22">
        <v>5</v>
      </c>
      <c r="E271" s="22">
        <v>5</v>
      </c>
      <c r="F271" s="22">
        <v>0</v>
      </c>
      <c r="G271" s="22">
        <v>5</v>
      </c>
      <c r="H271" s="22">
        <v>0</v>
      </c>
      <c r="I271" s="22">
        <v>45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14">
        <v>0.35</v>
      </c>
      <c r="U271" s="98">
        <v>0.03</v>
      </c>
      <c r="V271" s="206">
        <v>0.03</v>
      </c>
    </row>
    <row r="272" spans="2:22" x14ac:dyDescent="0.2">
      <c r="B272" s="123"/>
      <c r="C272" s="216" t="s">
        <v>30</v>
      </c>
      <c r="D272" s="22">
        <v>2.5</v>
      </c>
      <c r="E272" s="22">
        <v>2.5</v>
      </c>
      <c r="F272" s="22">
        <v>0</v>
      </c>
      <c r="G272" s="22">
        <v>0</v>
      </c>
      <c r="H272" s="22">
        <v>2.5</v>
      </c>
      <c r="I272" s="22">
        <v>9.5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  <c r="S272" s="22">
        <v>0</v>
      </c>
      <c r="T272" s="3">
        <v>0.09</v>
      </c>
      <c r="U272" s="174">
        <v>0</v>
      </c>
      <c r="V272" s="176">
        <v>0</v>
      </c>
    </row>
    <row r="273" spans="2:22" x14ac:dyDescent="0.2">
      <c r="B273" s="123"/>
      <c r="C273" s="5" t="s">
        <v>46</v>
      </c>
      <c r="D273" s="3">
        <v>2.5</v>
      </c>
      <c r="E273" s="3">
        <v>2.5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50">
        <v>0</v>
      </c>
      <c r="S273" s="3">
        <v>0</v>
      </c>
      <c r="T273" s="3">
        <v>0.03</v>
      </c>
      <c r="U273" s="174">
        <v>0</v>
      </c>
      <c r="V273" s="176">
        <v>0</v>
      </c>
    </row>
    <row r="274" spans="2:22" x14ac:dyDescent="0.2">
      <c r="B274" s="69"/>
      <c r="C274" s="69" t="s">
        <v>39</v>
      </c>
      <c r="D274" s="14">
        <v>6.0000000000000001E-3</v>
      </c>
      <c r="E274" s="14">
        <v>6.0000000000000001E-3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6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3">
        <v>0</v>
      </c>
      <c r="U274" s="98">
        <v>0</v>
      </c>
      <c r="V274" s="206">
        <v>0</v>
      </c>
    </row>
    <row r="275" spans="2:22" x14ac:dyDescent="0.2">
      <c r="B275" s="69"/>
      <c r="C275" s="224" t="s">
        <v>43</v>
      </c>
      <c r="D275" s="225">
        <v>200</v>
      </c>
      <c r="E275" s="225">
        <v>200</v>
      </c>
      <c r="F275" s="36">
        <v>0</v>
      </c>
      <c r="G275" s="36">
        <v>0</v>
      </c>
      <c r="H275" s="226">
        <v>0</v>
      </c>
      <c r="I275" s="36">
        <v>0</v>
      </c>
      <c r="J275" s="37">
        <v>0</v>
      </c>
      <c r="K275" s="37">
        <v>0</v>
      </c>
      <c r="L275" s="36">
        <v>0</v>
      </c>
      <c r="M275" s="37">
        <v>0</v>
      </c>
      <c r="N275" s="36">
        <v>0</v>
      </c>
      <c r="O275" s="36">
        <v>0</v>
      </c>
      <c r="P275" s="36">
        <v>0</v>
      </c>
      <c r="Q275" s="36">
        <v>0</v>
      </c>
      <c r="R275" s="36">
        <v>0</v>
      </c>
      <c r="S275" s="36">
        <v>0</v>
      </c>
      <c r="T275" s="69">
        <v>0</v>
      </c>
      <c r="U275" s="96">
        <v>0</v>
      </c>
      <c r="V275" s="52">
        <v>0</v>
      </c>
    </row>
    <row r="276" spans="2:22" x14ac:dyDescent="0.2">
      <c r="B276" s="69"/>
      <c r="C276" s="224" t="s">
        <v>47</v>
      </c>
      <c r="D276" s="225"/>
      <c r="E276" s="225"/>
      <c r="F276" s="14">
        <v>1.83</v>
      </c>
      <c r="G276" s="14">
        <v>5.15</v>
      </c>
      <c r="H276" s="14">
        <v>13.66</v>
      </c>
      <c r="I276" s="14">
        <v>104.7</v>
      </c>
      <c r="J276" s="16">
        <v>362.8</v>
      </c>
      <c r="K276" s="14">
        <v>33.590000000000003</v>
      </c>
      <c r="L276" s="14">
        <v>24.55</v>
      </c>
      <c r="M276" s="16">
        <v>50.1</v>
      </c>
      <c r="N276" s="14">
        <v>1.02</v>
      </c>
      <c r="O276" s="14">
        <v>0</v>
      </c>
      <c r="P276" s="14">
        <v>0</v>
      </c>
      <c r="Q276" s="14">
        <v>0</v>
      </c>
      <c r="R276" s="14">
        <v>0.39</v>
      </c>
      <c r="S276" s="14">
        <v>20.85</v>
      </c>
      <c r="T276" s="69">
        <v>5.16</v>
      </c>
      <c r="U276" s="96">
        <v>5.07</v>
      </c>
      <c r="V276" s="52">
        <v>5.07</v>
      </c>
    </row>
    <row r="277" spans="2:22" x14ac:dyDescent="0.2">
      <c r="B277" s="69" t="s">
        <v>89</v>
      </c>
      <c r="C277" s="224" t="s">
        <v>80</v>
      </c>
      <c r="D277" s="225"/>
      <c r="E277" s="225">
        <v>100</v>
      </c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69"/>
      <c r="U277" s="96"/>
      <c r="V277" s="52"/>
    </row>
    <row r="278" spans="2:22" x14ac:dyDescent="0.2">
      <c r="B278" s="69"/>
      <c r="C278" s="224" t="s">
        <v>67</v>
      </c>
      <c r="D278" s="225">
        <v>86.6</v>
      </c>
      <c r="E278" s="225">
        <v>63.3</v>
      </c>
      <c r="F278" s="14">
        <v>11.7738</v>
      </c>
      <c r="G278" s="14">
        <v>10.128</v>
      </c>
      <c r="H278" s="14">
        <v>0</v>
      </c>
      <c r="I278" s="14">
        <v>138.24719999999999</v>
      </c>
      <c r="J278" s="14">
        <v>205.7</v>
      </c>
      <c r="K278" s="14">
        <v>5.6970000000000001</v>
      </c>
      <c r="L278" s="14">
        <v>13.926</v>
      </c>
      <c r="M278" s="14">
        <v>119.004</v>
      </c>
      <c r="N278" s="14">
        <v>1.7091000000000001</v>
      </c>
      <c r="O278" s="14">
        <v>0</v>
      </c>
      <c r="P278" s="14">
        <v>3.798E-2</v>
      </c>
      <c r="Q278" s="14">
        <v>0.12659999999999999</v>
      </c>
      <c r="R278" s="14">
        <v>2.9750999999999999</v>
      </c>
      <c r="S278" s="14">
        <v>0</v>
      </c>
      <c r="T278" s="69">
        <v>329.03</v>
      </c>
      <c r="U278" s="96">
        <v>20.827598999999999</v>
      </c>
      <c r="V278" s="93">
        <v>20.83</v>
      </c>
    </row>
    <row r="279" spans="2:22" x14ac:dyDescent="0.2">
      <c r="B279" s="69"/>
      <c r="C279" s="227" t="s">
        <v>35</v>
      </c>
      <c r="D279" s="225">
        <v>10</v>
      </c>
      <c r="E279" s="225">
        <v>10</v>
      </c>
      <c r="F279" s="14">
        <v>0</v>
      </c>
      <c r="G279" s="14">
        <v>0</v>
      </c>
      <c r="H279" s="14">
        <v>0</v>
      </c>
      <c r="I279" s="14">
        <v>0</v>
      </c>
      <c r="J279" s="15">
        <v>0</v>
      </c>
      <c r="K279" s="14">
        <v>0</v>
      </c>
      <c r="L279" s="14">
        <v>0</v>
      </c>
      <c r="M279" s="16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69">
        <v>0</v>
      </c>
      <c r="U279" s="96">
        <v>0</v>
      </c>
      <c r="V279" s="98">
        <v>0</v>
      </c>
    </row>
    <row r="280" spans="2:22" x14ac:dyDescent="0.2">
      <c r="B280" s="69"/>
      <c r="C280" s="227" t="s">
        <v>49</v>
      </c>
      <c r="D280" s="225">
        <v>8.3000000000000007</v>
      </c>
      <c r="E280" s="225">
        <v>8.3000000000000007</v>
      </c>
      <c r="F280" s="14">
        <v>0.95450000000000002</v>
      </c>
      <c r="G280" s="14">
        <v>8.3000000000000004E-2</v>
      </c>
      <c r="H280" s="14">
        <v>5.9261999999999997</v>
      </c>
      <c r="I280" s="14">
        <v>27.39</v>
      </c>
      <c r="J280" s="14">
        <v>4.4820000000000002</v>
      </c>
      <c r="K280" s="14">
        <v>1.992</v>
      </c>
      <c r="L280" s="14">
        <v>1.7430000000000001</v>
      </c>
      <c r="M280" s="14">
        <v>0.14940000000000001</v>
      </c>
      <c r="N280" s="14">
        <v>0.14940000000000001</v>
      </c>
      <c r="O280" s="14">
        <v>0</v>
      </c>
      <c r="P280" s="14">
        <v>6.6400000000000001E-3</v>
      </c>
      <c r="Q280" s="14">
        <v>3.32E-3</v>
      </c>
      <c r="R280" s="14">
        <v>0.1328</v>
      </c>
      <c r="S280" s="14">
        <v>0</v>
      </c>
      <c r="T280" s="69">
        <v>44.35</v>
      </c>
      <c r="U280" s="96">
        <v>0.36810500000000002</v>
      </c>
      <c r="V280" s="98">
        <v>0.37</v>
      </c>
    </row>
    <row r="281" spans="2:22" x14ac:dyDescent="0.2">
      <c r="B281" s="69"/>
      <c r="C281" s="227" t="s">
        <v>33</v>
      </c>
      <c r="D281" s="225">
        <v>35</v>
      </c>
      <c r="E281" s="225">
        <v>30</v>
      </c>
      <c r="F281" s="14">
        <v>0.39</v>
      </c>
      <c r="G281" s="14">
        <v>0.03</v>
      </c>
      <c r="H281" s="14">
        <v>2.0699999999999998</v>
      </c>
      <c r="I281" s="14">
        <v>10.5</v>
      </c>
      <c r="J281" s="15">
        <v>60</v>
      </c>
      <c r="K281" s="14">
        <v>8.1</v>
      </c>
      <c r="L281" s="14">
        <v>11.4</v>
      </c>
      <c r="M281" s="41">
        <v>16.5</v>
      </c>
      <c r="N281" s="14">
        <v>0.21</v>
      </c>
      <c r="O281" s="14">
        <v>0</v>
      </c>
      <c r="P281" s="14">
        <v>1.7999999999999999E-2</v>
      </c>
      <c r="Q281" s="14">
        <v>2.1000000000000001E-2</v>
      </c>
      <c r="R281" s="14">
        <v>0.3</v>
      </c>
      <c r="S281" s="14">
        <v>1.5</v>
      </c>
      <c r="T281" s="69">
        <v>34.229999999999997</v>
      </c>
      <c r="U281" s="96">
        <v>1.1980500000000001</v>
      </c>
      <c r="V281" s="98">
        <v>1.2</v>
      </c>
    </row>
    <row r="282" spans="2:22" x14ac:dyDescent="0.2">
      <c r="B282" s="69"/>
      <c r="C282" s="227" t="s">
        <v>34</v>
      </c>
      <c r="D282" s="228">
        <v>13.3</v>
      </c>
      <c r="E282" s="228">
        <v>13.3</v>
      </c>
      <c r="F282" s="3">
        <v>0</v>
      </c>
      <c r="G282" s="3">
        <v>13.2867</v>
      </c>
      <c r="H282" s="3">
        <v>0</v>
      </c>
      <c r="I282" s="3">
        <v>119.56699999999999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69">
        <v>70.400000000000006</v>
      </c>
      <c r="U282" s="96">
        <v>0.93632000000000004</v>
      </c>
      <c r="V282" s="98">
        <v>0.94</v>
      </c>
    </row>
    <row r="283" spans="2:22" s="26" customFormat="1" ht="24" customHeight="1" x14ac:dyDescent="0.2">
      <c r="B283" s="123"/>
      <c r="C283" s="6" t="s">
        <v>69</v>
      </c>
      <c r="D283" s="197">
        <v>6.6</v>
      </c>
      <c r="E283" s="198">
        <v>6.6</v>
      </c>
      <c r="F283" s="3">
        <v>0.67979999999999996</v>
      </c>
      <c r="G283" s="3">
        <v>7.2599999999999998E-2</v>
      </c>
      <c r="H283" s="3">
        <v>4.5540000000000003</v>
      </c>
      <c r="I283" s="3">
        <v>22.044</v>
      </c>
      <c r="J283" s="3">
        <v>12</v>
      </c>
      <c r="K283" s="32">
        <v>1.5840000000000001</v>
      </c>
      <c r="L283" s="7">
        <v>2.9039999999999999</v>
      </c>
      <c r="M283" s="7">
        <v>7.6</v>
      </c>
      <c r="N283" s="3">
        <v>0.1386</v>
      </c>
      <c r="O283" s="3">
        <v>0</v>
      </c>
      <c r="P283" s="3">
        <v>1.1220000000000001E-2</v>
      </c>
      <c r="Q283" s="3">
        <v>5.28E-3</v>
      </c>
      <c r="R283" s="3">
        <v>7.9200000000000007E-2</v>
      </c>
      <c r="S283" s="32">
        <v>0</v>
      </c>
      <c r="T283" s="22">
        <v>24.25</v>
      </c>
      <c r="U283" s="93">
        <v>0.16005</v>
      </c>
      <c r="V283" s="98">
        <v>0.16</v>
      </c>
    </row>
    <row r="284" spans="2:22" s="26" customFormat="1" x14ac:dyDescent="0.2">
      <c r="B284" s="123"/>
      <c r="C284" s="6" t="s">
        <v>46</v>
      </c>
      <c r="D284" s="20">
        <v>3.2</v>
      </c>
      <c r="E284" s="20">
        <v>3.2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17">
        <v>0</v>
      </c>
      <c r="L284" s="20">
        <v>0</v>
      </c>
      <c r="M284" s="217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2">
        <v>11.13</v>
      </c>
      <c r="U284" s="93">
        <v>3.5616000000000002E-2</v>
      </c>
      <c r="V284" s="98">
        <v>0.04</v>
      </c>
    </row>
    <row r="285" spans="2:22" s="26" customFormat="1" ht="28.5" customHeight="1" x14ac:dyDescent="0.2">
      <c r="B285" s="123"/>
      <c r="C285" s="188" t="s">
        <v>77</v>
      </c>
      <c r="D285" s="20"/>
      <c r="E285" s="20"/>
      <c r="F285" s="14">
        <v>13.7981</v>
      </c>
      <c r="G285" s="14">
        <v>23.600300000000001</v>
      </c>
      <c r="H285" s="15">
        <v>12.5502</v>
      </c>
      <c r="I285" s="14">
        <v>317.7482</v>
      </c>
      <c r="J285" s="229">
        <v>281.82299999999998</v>
      </c>
      <c r="K285" s="14">
        <v>17.373000000000001</v>
      </c>
      <c r="L285" s="14">
        <v>29.972999999999999</v>
      </c>
      <c r="M285" s="14">
        <v>143.24340000000001</v>
      </c>
      <c r="N285" s="14">
        <v>2.2071000000000001</v>
      </c>
      <c r="O285" s="14">
        <v>0</v>
      </c>
      <c r="P285" s="14">
        <v>7.3840000000000003E-2</v>
      </c>
      <c r="Q285" s="14">
        <v>0.15620000000000001</v>
      </c>
      <c r="R285" s="14">
        <v>3.4870999999999999</v>
      </c>
      <c r="S285" s="14">
        <v>1.5</v>
      </c>
      <c r="T285" s="22"/>
      <c r="U285" s="93">
        <v>23.525739999999999</v>
      </c>
      <c r="V285" s="98">
        <v>23.53</v>
      </c>
    </row>
    <row r="286" spans="2:22" s="26" customFormat="1" x14ac:dyDescent="0.2">
      <c r="B286" s="123" t="s">
        <v>98</v>
      </c>
      <c r="C286" s="188" t="s">
        <v>99</v>
      </c>
      <c r="D286" s="20"/>
      <c r="E286" s="20">
        <v>50</v>
      </c>
      <c r="F286" s="20"/>
      <c r="G286" s="20"/>
      <c r="H286" s="20"/>
      <c r="I286" s="20"/>
      <c r="J286" s="20"/>
      <c r="K286" s="217"/>
      <c r="L286" s="20"/>
      <c r="M286" s="217"/>
      <c r="N286" s="20"/>
      <c r="O286" s="20"/>
      <c r="P286" s="20"/>
      <c r="Q286" s="20"/>
      <c r="R286" s="20"/>
      <c r="S286" s="20"/>
      <c r="T286" s="22"/>
      <c r="U286" s="93"/>
      <c r="V286" s="98"/>
    </row>
    <row r="287" spans="2:22" s="26" customFormat="1" x14ac:dyDescent="0.2">
      <c r="B287" s="123"/>
      <c r="C287" s="188" t="s">
        <v>100</v>
      </c>
      <c r="D287" s="20">
        <v>50</v>
      </c>
      <c r="E287" s="20">
        <v>50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22">
        <v>0</v>
      </c>
      <c r="U287" s="93">
        <v>0</v>
      </c>
      <c r="V287" s="98">
        <v>0</v>
      </c>
    </row>
    <row r="288" spans="2:22" s="26" customFormat="1" x14ac:dyDescent="0.2">
      <c r="B288" s="123"/>
      <c r="C288" s="188" t="s">
        <v>34</v>
      </c>
      <c r="D288" s="20">
        <v>2.5</v>
      </c>
      <c r="E288" s="20">
        <v>2.5</v>
      </c>
      <c r="F288" s="14">
        <v>0</v>
      </c>
      <c r="G288" s="14">
        <v>2.5</v>
      </c>
      <c r="H288" s="14">
        <v>0</v>
      </c>
      <c r="I288" s="14">
        <v>22.4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22">
        <v>70.400000000000006</v>
      </c>
      <c r="U288" s="93">
        <v>0.17599999999999999</v>
      </c>
      <c r="V288" s="98">
        <v>0.18</v>
      </c>
    </row>
    <row r="289" spans="2:22" s="26" customFormat="1" x14ac:dyDescent="0.2">
      <c r="B289" s="123"/>
      <c r="C289" s="188" t="s">
        <v>38</v>
      </c>
      <c r="D289" s="20">
        <v>2.5</v>
      </c>
      <c r="E289" s="20">
        <v>2.5</v>
      </c>
      <c r="F289" s="14">
        <v>0.3</v>
      </c>
      <c r="G289" s="14">
        <v>0</v>
      </c>
      <c r="H289" s="14">
        <v>1.7</v>
      </c>
      <c r="I289" s="14">
        <v>8.4</v>
      </c>
      <c r="J289" s="14">
        <v>4.4000000000000004</v>
      </c>
      <c r="K289" s="14">
        <v>0.6</v>
      </c>
      <c r="L289" s="14">
        <v>1.1000000000000001</v>
      </c>
      <c r="M289" s="14">
        <v>2.9</v>
      </c>
      <c r="N289" s="14">
        <v>0.05</v>
      </c>
      <c r="O289" s="14">
        <v>0</v>
      </c>
      <c r="P289" s="14">
        <v>0</v>
      </c>
      <c r="Q289" s="14">
        <v>0</v>
      </c>
      <c r="R289" s="14">
        <v>0.03</v>
      </c>
      <c r="S289" s="14">
        <v>0</v>
      </c>
      <c r="T289" s="22">
        <v>24.25</v>
      </c>
      <c r="U289" s="93">
        <v>6.0624999999999998E-2</v>
      </c>
      <c r="V289" s="98">
        <v>0.06</v>
      </c>
    </row>
    <row r="290" spans="2:22" s="26" customFormat="1" x14ac:dyDescent="0.2">
      <c r="B290" s="123"/>
      <c r="C290" s="188" t="s">
        <v>36</v>
      </c>
      <c r="D290" s="20">
        <v>2</v>
      </c>
      <c r="E290" s="20">
        <v>2</v>
      </c>
      <c r="F290" s="14">
        <v>0.1</v>
      </c>
      <c r="G290" s="14">
        <v>0</v>
      </c>
      <c r="H290" s="14">
        <v>0.4</v>
      </c>
      <c r="I290" s="14">
        <v>2</v>
      </c>
      <c r="J290" s="14">
        <v>17.5</v>
      </c>
      <c r="K290" s="14">
        <v>0.4</v>
      </c>
      <c r="L290" s="14">
        <v>1</v>
      </c>
      <c r="M290" s="14">
        <v>1.36</v>
      </c>
      <c r="N290" s="14">
        <v>0.05</v>
      </c>
      <c r="O290" s="14">
        <v>0</v>
      </c>
      <c r="P290" s="14">
        <v>0</v>
      </c>
      <c r="Q290" s="14">
        <v>0</v>
      </c>
      <c r="R290" s="14">
        <v>0.04</v>
      </c>
      <c r="S290" s="14">
        <v>0.9</v>
      </c>
      <c r="T290" s="22">
        <v>176.53</v>
      </c>
      <c r="U290" s="93">
        <v>0.35305999999999998</v>
      </c>
      <c r="V290" s="98">
        <v>0.35</v>
      </c>
    </row>
    <row r="291" spans="2:22" x14ac:dyDescent="0.2">
      <c r="B291" s="123"/>
      <c r="C291" s="188" t="s">
        <v>32</v>
      </c>
      <c r="D291" s="20">
        <v>5</v>
      </c>
      <c r="E291" s="20">
        <v>4</v>
      </c>
      <c r="F291" s="14">
        <v>0.06</v>
      </c>
      <c r="G291" s="14">
        <v>0</v>
      </c>
      <c r="H291" s="14">
        <v>0.28000000000000003</v>
      </c>
      <c r="I291" s="14">
        <v>1.4</v>
      </c>
      <c r="J291" s="14">
        <v>8</v>
      </c>
      <c r="K291" s="14">
        <v>1</v>
      </c>
      <c r="L291" s="14">
        <v>1.5</v>
      </c>
      <c r="M291" s="14">
        <v>2.2000000000000002</v>
      </c>
      <c r="N291" s="14">
        <v>0</v>
      </c>
      <c r="O291" s="14">
        <v>0</v>
      </c>
      <c r="P291" s="14">
        <v>0</v>
      </c>
      <c r="Q291" s="14">
        <v>0</v>
      </c>
      <c r="R291" s="14">
        <v>0.04</v>
      </c>
      <c r="S291" s="14">
        <v>0.2</v>
      </c>
      <c r="T291" s="22">
        <v>34.6</v>
      </c>
      <c r="U291" s="93">
        <v>0.17299999999999999</v>
      </c>
      <c r="V291" s="98">
        <v>0.17</v>
      </c>
    </row>
    <row r="292" spans="2:22" x14ac:dyDescent="0.2">
      <c r="B292" s="123"/>
      <c r="C292" s="188" t="s">
        <v>33</v>
      </c>
      <c r="D292" s="20">
        <v>1.2</v>
      </c>
      <c r="E292" s="20">
        <v>1</v>
      </c>
      <c r="F292" s="14">
        <v>0.01</v>
      </c>
      <c r="G292" s="14">
        <v>0</v>
      </c>
      <c r="H292" s="14">
        <v>0.08</v>
      </c>
      <c r="I292" s="14">
        <v>0.41</v>
      </c>
      <c r="J292" s="14">
        <v>1.75</v>
      </c>
      <c r="K292" s="14">
        <v>0.31</v>
      </c>
      <c r="L292" s="14">
        <v>0.14000000000000001</v>
      </c>
      <c r="M292" s="14">
        <v>0.57999999999999996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0.1</v>
      </c>
      <c r="T292" s="22">
        <v>34.229999999999997</v>
      </c>
      <c r="U292" s="93">
        <v>4.1076000000000001E-2</v>
      </c>
      <c r="V292" s="98">
        <v>0.04</v>
      </c>
    </row>
    <row r="293" spans="2:22" x14ac:dyDescent="0.2">
      <c r="B293" s="123"/>
      <c r="C293" s="188" t="s">
        <v>30</v>
      </c>
      <c r="D293" s="20">
        <v>0.75</v>
      </c>
      <c r="E293" s="20">
        <v>0.75</v>
      </c>
      <c r="F293" s="14">
        <v>0</v>
      </c>
      <c r="G293" s="14">
        <v>0</v>
      </c>
      <c r="H293" s="14">
        <v>0.7</v>
      </c>
      <c r="I293" s="14">
        <v>2.8</v>
      </c>
      <c r="J293" s="14">
        <v>0.02</v>
      </c>
      <c r="K293" s="14">
        <v>0.01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22">
        <v>35.159999999999997</v>
      </c>
      <c r="U293" s="93">
        <v>2.6370000000000001E-2</v>
      </c>
      <c r="V293" s="98">
        <v>0.03</v>
      </c>
    </row>
    <row r="294" spans="2:22" ht="12.75" customHeight="1" x14ac:dyDescent="0.2">
      <c r="B294" s="123"/>
      <c r="C294" s="65" t="s">
        <v>46</v>
      </c>
      <c r="D294" s="3">
        <v>0.5</v>
      </c>
      <c r="E294" s="3">
        <v>0.5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22">
        <v>11.13</v>
      </c>
      <c r="U294" s="93">
        <v>5.5649999999999996E-3</v>
      </c>
      <c r="V294" s="98">
        <v>0.01</v>
      </c>
    </row>
    <row r="295" spans="2:22" ht="14.25" customHeight="1" x14ac:dyDescent="0.2">
      <c r="B295" s="123"/>
      <c r="C295" s="65" t="s">
        <v>39</v>
      </c>
      <c r="D295" s="3">
        <v>0.02</v>
      </c>
      <c r="E295" s="3">
        <v>0.02</v>
      </c>
      <c r="F295" s="3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22">
        <v>300</v>
      </c>
      <c r="U295" s="93">
        <v>6.0000000000000001E-3</v>
      </c>
      <c r="V295" s="98">
        <v>0.01</v>
      </c>
    </row>
    <row r="296" spans="2:22" x14ac:dyDescent="0.2">
      <c r="B296" s="123"/>
      <c r="C296" s="5" t="s">
        <v>77</v>
      </c>
      <c r="D296" s="14"/>
      <c r="E296" s="14"/>
      <c r="F296" s="14">
        <v>0.47</v>
      </c>
      <c r="G296" s="14">
        <v>2.5</v>
      </c>
      <c r="H296" s="14">
        <v>3.16</v>
      </c>
      <c r="I296" s="14">
        <v>37.409999999999997</v>
      </c>
      <c r="J296" s="14">
        <v>31.67</v>
      </c>
      <c r="K296" s="14">
        <v>2.3199999999999998</v>
      </c>
      <c r="L296" s="14">
        <v>3.74</v>
      </c>
      <c r="M296" s="14">
        <v>7.04</v>
      </c>
      <c r="N296" s="14">
        <v>0.1</v>
      </c>
      <c r="O296" s="14">
        <v>0</v>
      </c>
      <c r="P296" s="14">
        <v>0</v>
      </c>
      <c r="Q296" s="14">
        <v>0</v>
      </c>
      <c r="R296" s="14">
        <v>0.11</v>
      </c>
      <c r="S296" s="14">
        <v>1.2</v>
      </c>
      <c r="U296" s="93">
        <v>0.841696</v>
      </c>
      <c r="V296" s="98">
        <v>0.84</v>
      </c>
    </row>
    <row r="297" spans="2:22" ht="25.5" x14ac:dyDescent="0.2">
      <c r="B297" s="218" t="s">
        <v>70</v>
      </c>
      <c r="C297" s="71" t="s">
        <v>71</v>
      </c>
      <c r="D297" s="34"/>
      <c r="E297" s="34">
        <v>180</v>
      </c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93"/>
      <c r="U297" s="206"/>
      <c r="V297" s="206"/>
    </row>
    <row r="298" spans="2:22" s="26" customFormat="1" x14ac:dyDescent="0.2">
      <c r="B298" s="218"/>
      <c r="C298" s="78" t="s">
        <v>72</v>
      </c>
      <c r="D298" s="241">
        <v>61</v>
      </c>
      <c r="E298" s="241">
        <v>61</v>
      </c>
      <c r="F298" s="241">
        <v>6.3</v>
      </c>
      <c r="G298" s="241">
        <v>0.67</v>
      </c>
      <c r="H298" s="241">
        <v>42.5</v>
      </c>
      <c r="I298" s="241">
        <v>205.57</v>
      </c>
      <c r="J298" s="241">
        <v>75.64</v>
      </c>
      <c r="K298" s="241">
        <v>10.98</v>
      </c>
      <c r="L298" s="241">
        <v>9.76</v>
      </c>
      <c r="M298" s="241">
        <v>53</v>
      </c>
      <c r="N298" s="241">
        <v>0.73</v>
      </c>
      <c r="O298" s="241">
        <v>0</v>
      </c>
      <c r="P298" s="241">
        <v>0.1</v>
      </c>
      <c r="Q298" s="241">
        <v>0.04</v>
      </c>
      <c r="R298" s="241">
        <v>0.74</v>
      </c>
      <c r="S298" s="241">
        <v>0</v>
      </c>
      <c r="T298" s="98">
        <v>2.2400000000000002</v>
      </c>
      <c r="U298" s="206">
        <v>2.2400000000000002</v>
      </c>
      <c r="V298" s="206">
        <v>2.2400000000000002</v>
      </c>
    </row>
    <row r="299" spans="2:22" s="26" customFormat="1" x14ac:dyDescent="0.2">
      <c r="B299" s="218"/>
      <c r="C299" s="78" t="s">
        <v>46</v>
      </c>
      <c r="D299" s="241">
        <v>2</v>
      </c>
      <c r="E299" s="241">
        <v>2</v>
      </c>
      <c r="F299" s="241">
        <v>0</v>
      </c>
      <c r="G299" s="241">
        <v>0</v>
      </c>
      <c r="H299" s="241">
        <v>0</v>
      </c>
      <c r="I299" s="241">
        <v>0</v>
      </c>
      <c r="J299" s="241">
        <v>0</v>
      </c>
      <c r="K299" s="241">
        <v>0</v>
      </c>
      <c r="L299" s="241">
        <v>0</v>
      </c>
      <c r="M299" s="241">
        <v>0</v>
      </c>
      <c r="N299" s="241">
        <v>0</v>
      </c>
      <c r="O299" s="241">
        <v>0</v>
      </c>
      <c r="P299" s="241">
        <v>0</v>
      </c>
      <c r="Q299" s="241">
        <v>0</v>
      </c>
      <c r="R299" s="241">
        <v>0</v>
      </c>
      <c r="S299" s="241">
        <v>0</v>
      </c>
      <c r="T299" s="98">
        <v>0.02</v>
      </c>
      <c r="U299" s="206">
        <v>0.02</v>
      </c>
      <c r="V299" s="206">
        <v>0.02</v>
      </c>
    </row>
    <row r="300" spans="2:22" s="26" customFormat="1" x14ac:dyDescent="0.2">
      <c r="B300" s="218"/>
      <c r="C300" s="78" t="s">
        <v>37</v>
      </c>
      <c r="D300" s="241">
        <v>6.3</v>
      </c>
      <c r="E300" s="241">
        <v>6.3</v>
      </c>
      <c r="F300" s="241">
        <v>4.24E-2</v>
      </c>
      <c r="G300" s="241">
        <v>3.8424999999999998</v>
      </c>
      <c r="H300" s="241">
        <v>6.8900000000000003E-2</v>
      </c>
      <c r="I300" s="241">
        <v>35.033000000000001</v>
      </c>
      <c r="J300" s="241">
        <v>1</v>
      </c>
      <c r="K300" s="241">
        <v>1.1659999999999999</v>
      </c>
      <c r="L300" s="241">
        <v>0.159</v>
      </c>
      <c r="M300" s="241">
        <v>1</v>
      </c>
      <c r="N300" s="241">
        <v>1.0999999999999999E-2</v>
      </c>
      <c r="O300" s="241">
        <v>0.03</v>
      </c>
      <c r="P300" s="241">
        <v>0</v>
      </c>
      <c r="Q300" s="241">
        <v>0</v>
      </c>
      <c r="R300" s="241">
        <v>5.0000000000000001E-3</v>
      </c>
      <c r="S300" s="241">
        <v>0</v>
      </c>
      <c r="T300" s="98">
        <v>1.79</v>
      </c>
      <c r="U300" s="206">
        <v>1.79</v>
      </c>
      <c r="V300" s="206">
        <v>1.79</v>
      </c>
    </row>
    <row r="301" spans="2:22" s="26" customFormat="1" x14ac:dyDescent="0.2">
      <c r="B301" s="218"/>
      <c r="C301" s="78" t="s">
        <v>77</v>
      </c>
      <c r="D301" s="241"/>
      <c r="E301" s="241"/>
      <c r="F301" s="241">
        <v>6.3423999999999996</v>
      </c>
      <c r="G301" s="241">
        <v>4.5125000000000002</v>
      </c>
      <c r="H301" s="241">
        <v>42.569000000000003</v>
      </c>
      <c r="I301" s="241">
        <v>240.6</v>
      </c>
      <c r="J301" s="241">
        <v>76.858999999999995</v>
      </c>
      <c r="K301" s="241">
        <v>12.146000000000001</v>
      </c>
      <c r="L301" s="241">
        <v>9.9190000000000005</v>
      </c>
      <c r="M301" s="241">
        <v>54.006999999999998</v>
      </c>
      <c r="N301" s="241">
        <v>0.74099999999999999</v>
      </c>
      <c r="O301" s="241">
        <v>0.03</v>
      </c>
      <c r="P301" s="241">
        <v>0.1</v>
      </c>
      <c r="Q301" s="241">
        <v>0.04</v>
      </c>
      <c r="R301" s="241">
        <v>0.745</v>
      </c>
      <c r="S301" s="241">
        <v>0</v>
      </c>
      <c r="T301" s="98">
        <v>4.05</v>
      </c>
      <c r="U301" s="206">
        <v>4.05</v>
      </c>
      <c r="V301" s="206">
        <v>4.05</v>
      </c>
    </row>
    <row r="302" spans="2:22" s="26" customFormat="1" x14ac:dyDescent="0.2">
      <c r="B302" s="123" t="s">
        <v>73</v>
      </c>
      <c r="C302" s="21" t="s">
        <v>74</v>
      </c>
      <c r="D302" s="52" t="s">
        <v>75</v>
      </c>
      <c r="E302" s="52"/>
      <c r="F302" s="52"/>
      <c r="G302" s="52"/>
      <c r="H302" s="52"/>
      <c r="I302" s="52"/>
      <c r="J302" s="52"/>
      <c r="K302" s="245"/>
      <c r="L302" s="52"/>
      <c r="M302" s="245"/>
      <c r="N302" s="52"/>
      <c r="O302" s="52"/>
      <c r="P302" s="52"/>
      <c r="Q302" s="52"/>
      <c r="R302" s="52"/>
      <c r="S302" s="52"/>
      <c r="T302" s="236"/>
      <c r="U302" s="236"/>
      <c r="V302" s="206"/>
    </row>
    <row r="303" spans="2:22" s="26" customFormat="1" x14ac:dyDescent="0.2">
      <c r="B303" s="201"/>
      <c r="C303" s="135" t="s">
        <v>40</v>
      </c>
      <c r="D303" s="135">
        <v>50</v>
      </c>
      <c r="E303" s="135">
        <v>50</v>
      </c>
      <c r="F303" s="135">
        <v>0.1</v>
      </c>
      <c r="G303" s="135">
        <v>0</v>
      </c>
      <c r="H303" s="135">
        <v>0</v>
      </c>
      <c r="I303" s="135">
        <v>0.8</v>
      </c>
      <c r="J303" s="135">
        <v>12.4</v>
      </c>
      <c r="K303" s="135">
        <v>2.5</v>
      </c>
      <c r="L303" s="135">
        <v>2.2000000000000002</v>
      </c>
      <c r="M303" s="135">
        <v>4.0999999999999996</v>
      </c>
      <c r="N303" s="135">
        <v>0.4</v>
      </c>
      <c r="O303" s="135">
        <v>0</v>
      </c>
      <c r="P303" s="135">
        <v>0</v>
      </c>
      <c r="Q303" s="135">
        <v>0</v>
      </c>
      <c r="R303" s="135">
        <v>0</v>
      </c>
      <c r="S303" s="135">
        <v>0</v>
      </c>
      <c r="T303" s="206">
        <v>0.41</v>
      </c>
      <c r="U303" s="206">
        <v>0.41</v>
      </c>
      <c r="V303" s="206">
        <v>0.41</v>
      </c>
    </row>
    <row r="304" spans="2:22" s="26" customFormat="1" x14ac:dyDescent="0.2">
      <c r="B304" s="201"/>
      <c r="C304" s="209" t="s">
        <v>30</v>
      </c>
      <c r="D304" s="138">
        <v>15</v>
      </c>
      <c r="E304" s="138">
        <v>15</v>
      </c>
      <c r="F304" s="138">
        <v>0</v>
      </c>
      <c r="G304" s="138">
        <v>0</v>
      </c>
      <c r="H304" s="138">
        <v>15</v>
      </c>
      <c r="I304" s="138">
        <v>56.9</v>
      </c>
      <c r="J304" s="138">
        <v>0.5</v>
      </c>
      <c r="K304" s="138">
        <v>0.4</v>
      </c>
      <c r="L304" s="138">
        <v>0</v>
      </c>
      <c r="M304" s="138">
        <v>0</v>
      </c>
      <c r="N304" s="138">
        <v>0</v>
      </c>
      <c r="O304" s="138">
        <v>0</v>
      </c>
      <c r="P304" s="138">
        <v>0</v>
      </c>
      <c r="Q304" s="138">
        <v>0</v>
      </c>
      <c r="R304" s="138">
        <v>0</v>
      </c>
      <c r="S304" s="138">
        <v>0</v>
      </c>
      <c r="T304" s="206">
        <v>0.53</v>
      </c>
      <c r="U304" s="206">
        <v>0.53</v>
      </c>
      <c r="V304" s="206">
        <v>0.53</v>
      </c>
    </row>
    <row r="305" spans="2:22" s="26" customFormat="1" x14ac:dyDescent="0.2">
      <c r="B305" s="201"/>
      <c r="C305" s="209" t="s">
        <v>35</v>
      </c>
      <c r="D305" s="135">
        <v>150</v>
      </c>
      <c r="E305" s="138">
        <v>150</v>
      </c>
      <c r="F305" s="141">
        <v>0</v>
      </c>
      <c r="G305" s="141">
        <v>0</v>
      </c>
      <c r="H305" s="141">
        <v>0</v>
      </c>
      <c r="I305" s="141">
        <v>0</v>
      </c>
      <c r="J305" s="141">
        <v>0</v>
      </c>
      <c r="K305" s="141">
        <v>0</v>
      </c>
      <c r="L305" s="141">
        <v>0</v>
      </c>
      <c r="M305" s="141">
        <v>0</v>
      </c>
      <c r="N305" s="141">
        <v>0</v>
      </c>
      <c r="O305" s="141">
        <v>0</v>
      </c>
      <c r="P305" s="141">
        <v>0</v>
      </c>
      <c r="Q305" s="141">
        <v>0</v>
      </c>
      <c r="R305" s="142">
        <v>0</v>
      </c>
      <c r="S305" s="143">
        <v>0</v>
      </c>
      <c r="T305" s="206">
        <v>0</v>
      </c>
      <c r="U305" s="206">
        <v>0</v>
      </c>
      <c r="V305" s="206">
        <v>0</v>
      </c>
    </row>
    <row r="306" spans="2:22" s="26" customFormat="1" x14ac:dyDescent="0.2">
      <c r="B306" s="201"/>
      <c r="C306" s="18" t="s">
        <v>47</v>
      </c>
      <c r="D306" s="135"/>
      <c r="E306" s="135"/>
      <c r="F306" s="135">
        <v>0.1</v>
      </c>
      <c r="G306" s="135">
        <v>0</v>
      </c>
      <c r="H306" s="135">
        <v>15</v>
      </c>
      <c r="I306" s="135">
        <v>57.7</v>
      </c>
      <c r="J306" s="135">
        <v>12.9</v>
      </c>
      <c r="K306" s="135">
        <v>2.9</v>
      </c>
      <c r="L306" s="135">
        <v>2.2000000000000002</v>
      </c>
      <c r="M306" s="135">
        <v>4.12</v>
      </c>
      <c r="N306" s="135">
        <v>0.4</v>
      </c>
      <c r="O306" s="135">
        <v>0</v>
      </c>
      <c r="P306" s="135">
        <v>0</v>
      </c>
      <c r="Q306" s="135">
        <v>0</v>
      </c>
      <c r="R306" s="212">
        <v>0</v>
      </c>
      <c r="S306" s="80">
        <v>0</v>
      </c>
      <c r="T306" s="206">
        <v>0.94</v>
      </c>
      <c r="U306" s="206">
        <v>0.94</v>
      </c>
      <c r="V306" s="206">
        <v>0.94</v>
      </c>
    </row>
    <row r="307" spans="2:22" s="26" customFormat="1" ht="25.5" x14ac:dyDescent="0.2">
      <c r="B307" s="123" t="s">
        <v>24</v>
      </c>
      <c r="C307" s="5" t="s">
        <v>105</v>
      </c>
      <c r="D307" s="3">
        <v>30</v>
      </c>
      <c r="E307" s="3">
        <v>30</v>
      </c>
      <c r="F307" s="14">
        <v>1.54</v>
      </c>
      <c r="G307" s="14">
        <v>0.6</v>
      </c>
      <c r="H307" s="14">
        <v>9.9600000000000009</v>
      </c>
      <c r="I307" s="14">
        <v>52.4</v>
      </c>
      <c r="J307" s="16">
        <v>25.4</v>
      </c>
      <c r="K307" s="14">
        <v>5.2</v>
      </c>
      <c r="L307" s="14">
        <v>7</v>
      </c>
      <c r="M307" s="16">
        <v>16.600000000000001</v>
      </c>
      <c r="N307" s="14">
        <v>0.32</v>
      </c>
      <c r="O307" s="14">
        <v>0</v>
      </c>
      <c r="P307" s="14">
        <v>3.2000000000000001E-2</v>
      </c>
      <c r="Q307" s="14">
        <v>1.6E-2</v>
      </c>
      <c r="R307" s="14">
        <v>0.308</v>
      </c>
      <c r="S307" s="14">
        <v>0</v>
      </c>
      <c r="T307" s="3">
        <v>29.29</v>
      </c>
      <c r="U307" s="32">
        <v>0.58584000000000003</v>
      </c>
      <c r="V307" s="219">
        <v>0.59</v>
      </c>
    </row>
    <row r="308" spans="2:22" s="26" customFormat="1" x14ac:dyDescent="0.2">
      <c r="B308" s="123" t="s">
        <v>24</v>
      </c>
      <c r="C308" s="5" t="s">
        <v>106</v>
      </c>
      <c r="D308" s="3">
        <v>20</v>
      </c>
      <c r="E308" s="3">
        <v>20</v>
      </c>
      <c r="F308" s="14">
        <v>1.32</v>
      </c>
      <c r="G308" s="14">
        <v>0.24</v>
      </c>
      <c r="H308" s="14">
        <v>6.84</v>
      </c>
      <c r="I308" s="14">
        <v>36.200000000000003</v>
      </c>
      <c r="J308" s="14">
        <v>18.8</v>
      </c>
      <c r="K308" s="14">
        <v>6.8</v>
      </c>
      <c r="L308" s="14">
        <v>8.1999999999999993</v>
      </c>
      <c r="M308" s="14">
        <v>24</v>
      </c>
      <c r="N308" s="14">
        <v>0.46</v>
      </c>
      <c r="O308" s="14">
        <v>0</v>
      </c>
      <c r="P308" s="14">
        <v>2.1999999999999999E-2</v>
      </c>
      <c r="Q308" s="14">
        <v>1.6E-2</v>
      </c>
      <c r="R308" s="14">
        <v>0.128</v>
      </c>
      <c r="S308" s="14">
        <v>0</v>
      </c>
      <c r="T308" s="3">
        <v>35.9</v>
      </c>
      <c r="U308" s="32">
        <v>0.71799999999999997</v>
      </c>
      <c r="V308" s="219">
        <v>0.72</v>
      </c>
    </row>
    <row r="309" spans="2:22" s="26" customFormat="1" x14ac:dyDescent="0.2">
      <c r="B309" s="123"/>
      <c r="C309" s="5" t="s">
        <v>25</v>
      </c>
      <c r="D309" s="197"/>
      <c r="E309" s="198"/>
      <c r="F309" s="4">
        <v>31.14</v>
      </c>
      <c r="G309" s="4">
        <v>23.334</v>
      </c>
      <c r="H309" s="4">
        <v>91.69</v>
      </c>
      <c r="I309" s="4">
        <v>803.57</v>
      </c>
      <c r="J309" s="11">
        <v>2609.1799999999998</v>
      </c>
      <c r="K309" s="4">
        <v>215.54</v>
      </c>
      <c r="L309" s="4">
        <v>240.92</v>
      </c>
      <c r="M309" s="11">
        <v>863.36</v>
      </c>
      <c r="N309" s="4">
        <v>6.8680000000000003</v>
      </c>
      <c r="O309" s="4">
        <v>2.9445999999999999</v>
      </c>
      <c r="P309" s="4">
        <v>0.59460000000000002</v>
      </c>
      <c r="Q309" s="4">
        <v>0.45760000000000001</v>
      </c>
      <c r="R309" s="51">
        <v>7.274</v>
      </c>
      <c r="S309" s="4">
        <v>50.53</v>
      </c>
      <c r="T309" s="22"/>
      <c r="U309" s="32">
        <v>44.412944000000003</v>
      </c>
      <c r="V309" s="219">
        <v>44.41</v>
      </c>
    </row>
    <row r="310" spans="2:22" x14ac:dyDescent="0.2">
      <c r="B310" s="123"/>
      <c r="C310" s="196" t="s">
        <v>63</v>
      </c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3"/>
      <c r="V310" s="52"/>
    </row>
    <row r="311" spans="2:22" x14ac:dyDescent="0.2">
      <c r="B311" s="123"/>
      <c r="C311" s="196" t="s">
        <v>1</v>
      </c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3"/>
      <c r="V311" s="52"/>
    </row>
    <row r="312" spans="2:22" x14ac:dyDescent="0.2">
      <c r="B312" s="189" t="s">
        <v>4</v>
      </c>
      <c r="C312" s="190" t="s">
        <v>5</v>
      </c>
      <c r="D312" s="248"/>
      <c r="E312" s="248">
        <v>250</v>
      </c>
      <c r="F312" s="248"/>
      <c r="G312" s="248"/>
      <c r="H312" s="248"/>
      <c r="I312" s="248"/>
      <c r="J312" s="248"/>
      <c r="K312" s="248"/>
      <c r="L312" s="248"/>
      <c r="M312" s="248"/>
      <c r="N312" s="248"/>
      <c r="O312" s="248"/>
      <c r="P312" s="248"/>
      <c r="Q312" s="248"/>
      <c r="R312" s="249"/>
      <c r="S312" s="214"/>
      <c r="T312" s="193"/>
      <c r="U312" s="52"/>
      <c r="V312" s="52"/>
    </row>
    <row r="313" spans="2:22" x14ac:dyDescent="0.2">
      <c r="B313" s="189"/>
      <c r="C313" s="250" t="s">
        <v>31</v>
      </c>
      <c r="D313" s="250">
        <v>66.7</v>
      </c>
      <c r="E313" s="250">
        <v>50</v>
      </c>
      <c r="F313" s="250">
        <v>1</v>
      </c>
      <c r="G313" s="250">
        <v>0.2</v>
      </c>
      <c r="H313" s="250">
        <v>8.65</v>
      </c>
      <c r="I313" s="250">
        <v>40</v>
      </c>
      <c r="J313" s="250">
        <v>284</v>
      </c>
      <c r="K313" s="250">
        <v>5</v>
      </c>
      <c r="L313" s="250">
        <v>11.15</v>
      </c>
      <c r="M313" s="250">
        <v>29</v>
      </c>
      <c r="N313" s="250">
        <v>0.45</v>
      </c>
      <c r="O313" s="250">
        <v>0</v>
      </c>
      <c r="P313" s="250">
        <v>0.06</v>
      </c>
      <c r="Q313" s="250">
        <v>3.5000000000000003E-2</v>
      </c>
      <c r="R313" s="251">
        <v>0.65</v>
      </c>
      <c r="S313" s="252">
        <v>10</v>
      </c>
      <c r="T313" s="253">
        <v>2.39</v>
      </c>
      <c r="U313" s="254">
        <v>2.39</v>
      </c>
      <c r="V313" s="254">
        <v>2.39</v>
      </c>
    </row>
    <row r="314" spans="2:22" x14ac:dyDescent="0.2">
      <c r="B314" s="189"/>
      <c r="C314" s="250" t="s">
        <v>45</v>
      </c>
      <c r="D314" s="250">
        <v>20.3</v>
      </c>
      <c r="E314" s="250">
        <v>20</v>
      </c>
      <c r="F314" s="250">
        <v>3.09</v>
      </c>
      <c r="G314" s="250">
        <v>0.43</v>
      </c>
      <c r="H314" s="250">
        <v>10</v>
      </c>
      <c r="I314" s="250">
        <v>57.75</v>
      </c>
      <c r="J314" s="250">
        <v>148.4</v>
      </c>
      <c r="K314" s="250">
        <v>18</v>
      </c>
      <c r="L314" s="250">
        <v>17.899999999999999</v>
      </c>
      <c r="M314" s="250">
        <v>45.9</v>
      </c>
      <c r="N314" s="250">
        <v>1.42</v>
      </c>
      <c r="O314" s="250">
        <v>0</v>
      </c>
      <c r="P314" s="250">
        <v>0</v>
      </c>
      <c r="Q314" s="250">
        <v>0</v>
      </c>
      <c r="R314" s="251">
        <v>0.48</v>
      </c>
      <c r="S314" s="252">
        <v>0</v>
      </c>
      <c r="T314" s="253">
        <v>0.64</v>
      </c>
      <c r="U314" s="254">
        <v>0.64</v>
      </c>
      <c r="V314" s="254">
        <v>0.64</v>
      </c>
    </row>
    <row r="315" spans="2:22" x14ac:dyDescent="0.2">
      <c r="B315" s="189"/>
      <c r="C315" s="250" t="s">
        <v>33</v>
      </c>
      <c r="D315" s="250">
        <v>12</v>
      </c>
      <c r="E315" s="250">
        <v>10</v>
      </c>
      <c r="F315" s="250">
        <v>0.14000000000000001</v>
      </c>
      <c r="G315" s="250">
        <v>0</v>
      </c>
      <c r="H315" s="250">
        <v>0.91</v>
      </c>
      <c r="I315" s="250">
        <v>4.0999999999999996</v>
      </c>
      <c r="J315" s="250">
        <v>17.5</v>
      </c>
      <c r="K315" s="250">
        <v>3.1</v>
      </c>
      <c r="L315" s="250">
        <v>1.4</v>
      </c>
      <c r="M315" s="250">
        <v>5.8</v>
      </c>
      <c r="N315" s="250">
        <v>0.08</v>
      </c>
      <c r="O315" s="250">
        <v>0</v>
      </c>
      <c r="P315" s="250">
        <v>0</v>
      </c>
      <c r="Q315" s="250">
        <v>0</v>
      </c>
      <c r="R315" s="251">
        <v>0</v>
      </c>
      <c r="S315" s="252">
        <v>1</v>
      </c>
      <c r="T315" s="253">
        <v>0.41</v>
      </c>
      <c r="U315" s="254">
        <v>0.41</v>
      </c>
      <c r="V315" s="254">
        <v>0.41</v>
      </c>
    </row>
    <row r="316" spans="2:22" x14ac:dyDescent="0.2">
      <c r="B316" s="189"/>
      <c r="C316" s="250" t="s">
        <v>32</v>
      </c>
      <c r="D316" s="250">
        <v>15.8</v>
      </c>
      <c r="E316" s="250">
        <v>12.5</v>
      </c>
      <c r="F316" s="250">
        <v>0.16</v>
      </c>
      <c r="G316" s="250">
        <v>0.01</v>
      </c>
      <c r="H316" s="250">
        <v>1.05</v>
      </c>
      <c r="I316" s="250">
        <v>4.25</v>
      </c>
      <c r="J316" s="250">
        <v>25</v>
      </c>
      <c r="K316" s="250">
        <v>3.37</v>
      </c>
      <c r="L316" s="250">
        <v>4.75</v>
      </c>
      <c r="M316" s="250">
        <v>6.9</v>
      </c>
      <c r="N316" s="250">
        <v>0.08</v>
      </c>
      <c r="O316" s="250">
        <v>0</v>
      </c>
      <c r="P316" s="250">
        <v>0</v>
      </c>
      <c r="Q316" s="250">
        <v>0</v>
      </c>
      <c r="R316" s="251">
        <v>0.13</v>
      </c>
      <c r="S316" s="252">
        <v>1.25</v>
      </c>
      <c r="T316" s="253">
        <v>0.55000000000000004</v>
      </c>
      <c r="U316" s="254">
        <v>0.55000000000000004</v>
      </c>
      <c r="V316" s="254">
        <v>0.55000000000000004</v>
      </c>
    </row>
    <row r="317" spans="2:22" x14ac:dyDescent="0.2">
      <c r="B317" s="189"/>
      <c r="C317" s="250" t="s">
        <v>34</v>
      </c>
      <c r="D317" s="250">
        <v>5</v>
      </c>
      <c r="E317" s="250">
        <v>5</v>
      </c>
      <c r="F317" s="250">
        <v>0</v>
      </c>
      <c r="G317" s="250">
        <v>5</v>
      </c>
      <c r="H317" s="250">
        <v>0</v>
      </c>
      <c r="I317" s="250">
        <v>44.95</v>
      </c>
      <c r="J317" s="250">
        <v>0</v>
      </c>
      <c r="K317" s="250">
        <v>0</v>
      </c>
      <c r="L317" s="250">
        <v>0</v>
      </c>
      <c r="M317" s="250">
        <v>0</v>
      </c>
      <c r="N317" s="250">
        <v>0</v>
      </c>
      <c r="O317" s="250">
        <v>0</v>
      </c>
      <c r="P317" s="250">
        <v>0</v>
      </c>
      <c r="Q317" s="250">
        <v>0</v>
      </c>
      <c r="R317" s="251">
        <v>0</v>
      </c>
      <c r="S317" s="252">
        <v>0</v>
      </c>
      <c r="T317" s="253">
        <v>0.35</v>
      </c>
      <c r="U317" s="254">
        <v>0.35</v>
      </c>
      <c r="V317" s="254">
        <v>0.35</v>
      </c>
    </row>
    <row r="318" spans="2:22" x14ac:dyDescent="0.2">
      <c r="B318" s="189"/>
      <c r="C318" s="250" t="s">
        <v>46</v>
      </c>
      <c r="D318" s="250">
        <v>2.5</v>
      </c>
      <c r="E318" s="250">
        <v>2.5</v>
      </c>
      <c r="F318" s="250">
        <v>0</v>
      </c>
      <c r="G318" s="250">
        <v>0</v>
      </c>
      <c r="H318" s="250">
        <v>0</v>
      </c>
      <c r="I318" s="250">
        <v>0</v>
      </c>
      <c r="J318" s="250">
        <v>0</v>
      </c>
      <c r="K318" s="250">
        <v>0</v>
      </c>
      <c r="L318" s="250">
        <v>0</v>
      </c>
      <c r="M318" s="250">
        <v>0</v>
      </c>
      <c r="N318" s="250">
        <v>0</v>
      </c>
      <c r="O318" s="250">
        <v>0</v>
      </c>
      <c r="P318" s="250">
        <v>0</v>
      </c>
      <c r="Q318" s="250">
        <v>0</v>
      </c>
      <c r="R318" s="251">
        <v>0</v>
      </c>
      <c r="S318" s="252">
        <v>0</v>
      </c>
      <c r="T318" s="253">
        <v>0.03</v>
      </c>
      <c r="U318" s="254">
        <v>0.03</v>
      </c>
      <c r="V318" s="254">
        <v>0.03</v>
      </c>
    </row>
    <row r="319" spans="2:22" x14ac:dyDescent="0.2">
      <c r="B319" s="189"/>
      <c r="C319" s="250" t="s">
        <v>35</v>
      </c>
      <c r="D319" s="250">
        <v>175</v>
      </c>
      <c r="E319" s="250">
        <v>175</v>
      </c>
      <c r="F319" s="250">
        <v>0</v>
      </c>
      <c r="G319" s="250">
        <v>0</v>
      </c>
      <c r="H319" s="250">
        <v>0</v>
      </c>
      <c r="I319" s="250">
        <v>0</v>
      </c>
      <c r="J319" s="250">
        <v>0</v>
      </c>
      <c r="K319" s="250">
        <v>0</v>
      </c>
      <c r="L319" s="250">
        <v>0</v>
      </c>
      <c r="M319" s="250">
        <v>0</v>
      </c>
      <c r="N319" s="250">
        <v>0</v>
      </c>
      <c r="O319" s="250">
        <v>0</v>
      </c>
      <c r="P319" s="250">
        <v>0</v>
      </c>
      <c r="Q319" s="250">
        <v>0</v>
      </c>
      <c r="R319" s="251">
        <v>0</v>
      </c>
      <c r="S319" s="252">
        <v>0</v>
      </c>
      <c r="T319" s="253">
        <v>0</v>
      </c>
      <c r="U319" s="254">
        <v>0</v>
      </c>
      <c r="V319" s="254">
        <v>0</v>
      </c>
    </row>
    <row r="320" spans="2:22" x14ac:dyDescent="0.2">
      <c r="B320" s="189"/>
      <c r="C320" s="250" t="s">
        <v>47</v>
      </c>
      <c r="D320" s="250"/>
      <c r="E320" s="250"/>
      <c r="F320" s="250">
        <v>4.3899999999999997</v>
      </c>
      <c r="G320" s="250">
        <v>5.64</v>
      </c>
      <c r="H320" s="250">
        <v>20.61</v>
      </c>
      <c r="I320" s="250">
        <v>151.05000000000001</v>
      </c>
      <c r="J320" s="250">
        <v>474.9</v>
      </c>
      <c r="K320" s="250">
        <v>29.47</v>
      </c>
      <c r="L320" s="250">
        <v>35.200000000000003</v>
      </c>
      <c r="M320" s="250">
        <v>87.6</v>
      </c>
      <c r="N320" s="250">
        <v>2.0299999999999998</v>
      </c>
      <c r="O320" s="250">
        <v>0</v>
      </c>
      <c r="P320" s="250">
        <v>0.06</v>
      </c>
      <c r="Q320" s="250">
        <v>3.5000000000000003E-2</v>
      </c>
      <c r="R320" s="251">
        <v>1.26</v>
      </c>
      <c r="S320" s="252">
        <v>12.25</v>
      </c>
      <c r="T320" s="253">
        <v>4.3600000000000003</v>
      </c>
      <c r="U320" s="254">
        <v>4.3600000000000003</v>
      </c>
      <c r="V320" s="254">
        <v>4.3600000000000003</v>
      </c>
    </row>
    <row r="321" spans="1:23" x14ac:dyDescent="0.2">
      <c r="B321" s="123" t="s">
        <v>51</v>
      </c>
      <c r="C321" s="21" t="s">
        <v>52</v>
      </c>
      <c r="D321" s="313">
        <v>280</v>
      </c>
      <c r="E321" s="316"/>
      <c r="F321" s="21"/>
      <c r="G321" s="21"/>
      <c r="H321" s="21"/>
      <c r="I321" s="21"/>
      <c r="J321" s="21"/>
      <c r="K321" s="68"/>
      <c r="L321" s="21"/>
      <c r="M321" s="21"/>
      <c r="N321" s="21"/>
      <c r="O321" s="21"/>
      <c r="P321" s="21"/>
      <c r="Q321" s="21"/>
      <c r="R321" s="21"/>
      <c r="S321" s="21"/>
      <c r="T321" s="32"/>
      <c r="U321" s="52"/>
      <c r="V321" s="135"/>
    </row>
    <row r="322" spans="1:23" x14ac:dyDescent="0.2">
      <c r="B322" s="201"/>
      <c r="C322" s="135" t="s">
        <v>44</v>
      </c>
      <c r="D322" s="210">
        <v>192</v>
      </c>
      <c r="E322" s="210">
        <v>136</v>
      </c>
      <c r="F322" s="205">
        <v>14.552</v>
      </c>
      <c r="G322" s="205">
        <v>1.496</v>
      </c>
      <c r="H322" s="205">
        <v>0</v>
      </c>
      <c r="I322" s="205">
        <v>299.2</v>
      </c>
      <c r="J322" s="244">
        <v>321</v>
      </c>
      <c r="K322" s="205">
        <v>19.04</v>
      </c>
      <c r="L322" s="205">
        <v>25.84</v>
      </c>
      <c r="M322" s="205">
        <v>217.6</v>
      </c>
      <c r="N322" s="205">
        <v>1.768</v>
      </c>
      <c r="O322" s="205">
        <v>0.05</v>
      </c>
      <c r="P322" s="205">
        <v>0.122</v>
      </c>
      <c r="Q322" s="205">
        <v>0.20399999999999999</v>
      </c>
      <c r="R322" s="205">
        <v>8.2959999999999994</v>
      </c>
      <c r="S322" s="205">
        <v>2.72</v>
      </c>
      <c r="T322" s="98">
        <v>110.79</v>
      </c>
      <c r="U322" s="135">
        <v>21.27</v>
      </c>
      <c r="V322" s="135">
        <v>21.27</v>
      </c>
    </row>
    <row r="323" spans="1:23" ht="25.5" x14ac:dyDescent="0.2">
      <c r="B323" s="201"/>
      <c r="C323" s="209" t="s">
        <v>34</v>
      </c>
      <c r="D323" s="210">
        <v>13</v>
      </c>
      <c r="E323" s="210">
        <v>13</v>
      </c>
      <c r="F323" s="135">
        <v>0</v>
      </c>
      <c r="G323" s="135">
        <v>12.987</v>
      </c>
      <c r="H323" s="135">
        <v>0</v>
      </c>
      <c r="I323" s="135">
        <v>116.87</v>
      </c>
      <c r="J323" s="207">
        <v>0</v>
      </c>
      <c r="K323" s="135">
        <v>0</v>
      </c>
      <c r="L323" s="135">
        <v>0</v>
      </c>
      <c r="M323" s="208">
        <v>0</v>
      </c>
      <c r="N323" s="135">
        <v>0</v>
      </c>
      <c r="O323" s="135">
        <v>0</v>
      </c>
      <c r="P323" s="135">
        <v>0</v>
      </c>
      <c r="Q323" s="135">
        <v>0</v>
      </c>
      <c r="R323" s="135">
        <v>0</v>
      </c>
      <c r="S323" s="135">
        <v>0</v>
      </c>
      <c r="T323" s="98">
        <v>70.400000000000006</v>
      </c>
      <c r="U323" s="135">
        <v>0.91500000000000004</v>
      </c>
      <c r="V323" s="135">
        <v>0.91500000000000004</v>
      </c>
    </row>
    <row r="324" spans="1:23" x14ac:dyDescent="0.2">
      <c r="A324" s="54"/>
      <c r="B324" s="201"/>
      <c r="C324" s="135" t="s">
        <v>32</v>
      </c>
      <c r="D324" s="210">
        <v>18</v>
      </c>
      <c r="E324" s="210">
        <v>14.4</v>
      </c>
      <c r="F324" s="135">
        <v>0.18720000000000001</v>
      </c>
      <c r="G324" s="135">
        <v>1.44E-2</v>
      </c>
      <c r="H324" s="135">
        <v>0.99360000000000004</v>
      </c>
      <c r="I324" s="135">
        <v>5.04</v>
      </c>
      <c r="J324" s="135">
        <v>28.8</v>
      </c>
      <c r="K324" s="135">
        <v>3.8879999999999999</v>
      </c>
      <c r="L324" s="135">
        <v>5.4720000000000004</v>
      </c>
      <c r="M324" s="135">
        <v>7.92</v>
      </c>
      <c r="N324" s="135">
        <v>0.10100000000000001</v>
      </c>
      <c r="O324" s="135">
        <v>0</v>
      </c>
      <c r="P324" s="135">
        <v>8.9999999999999993E-3</v>
      </c>
      <c r="Q324" s="135">
        <v>0.01</v>
      </c>
      <c r="R324" s="135">
        <v>0.14399999999999999</v>
      </c>
      <c r="S324" s="135">
        <v>0.72</v>
      </c>
      <c r="T324" s="98">
        <v>34.6</v>
      </c>
      <c r="U324" s="135">
        <v>0.623</v>
      </c>
      <c r="V324" s="135">
        <v>0.623</v>
      </c>
      <c r="W324" s="54"/>
    </row>
    <row r="325" spans="1:23" x14ac:dyDescent="0.2">
      <c r="A325" s="54"/>
      <c r="B325" s="201"/>
      <c r="C325" s="135" t="s">
        <v>36</v>
      </c>
      <c r="D325" s="210">
        <v>3.6</v>
      </c>
      <c r="E325" s="210">
        <v>3.6</v>
      </c>
      <c r="F325" s="135">
        <v>4.6800000000000001E-2</v>
      </c>
      <c r="G325" s="241">
        <v>0</v>
      </c>
      <c r="H325" s="241">
        <v>0.68400000000000005</v>
      </c>
      <c r="I325" s="241">
        <v>3.6720000000000002</v>
      </c>
      <c r="J325" s="255">
        <v>31.5</v>
      </c>
      <c r="K325" s="241">
        <v>0.72</v>
      </c>
      <c r="L325" s="241">
        <v>1.8</v>
      </c>
      <c r="M325" s="241">
        <v>24.48</v>
      </c>
      <c r="N325" s="241">
        <v>8.3000000000000004E-2</v>
      </c>
      <c r="O325" s="241">
        <v>0</v>
      </c>
      <c r="P325" s="241">
        <v>5.0000000000000001E-3</v>
      </c>
      <c r="Q325" s="241">
        <v>6.0000000000000001E-3</v>
      </c>
      <c r="R325" s="241">
        <v>6.8000000000000005E-2</v>
      </c>
      <c r="S325" s="241">
        <v>1.62</v>
      </c>
      <c r="T325" s="98">
        <v>176.53</v>
      </c>
      <c r="U325" s="135">
        <v>0.63600000000000001</v>
      </c>
      <c r="V325" s="135">
        <v>0.63600000000000001</v>
      </c>
      <c r="W325" s="54"/>
    </row>
    <row r="326" spans="1:23" x14ac:dyDescent="0.2">
      <c r="A326" s="54"/>
      <c r="B326" s="201"/>
      <c r="C326" s="135" t="s">
        <v>33</v>
      </c>
      <c r="D326" s="210">
        <v>14.4</v>
      </c>
      <c r="E326" s="210">
        <v>12.6</v>
      </c>
      <c r="F326" s="135">
        <v>0.1638</v>
      </c>
      <c r="G326" s="135">
        <v>1.26E-2</v>
      </c>
      <c r="H326" s="135">
        <v>0.86939999999999995</v>
      </c>
      <c r="I326" s="135">
        <v>4.41</v>
      </c>
      <c r="J326" s="135">
        <v>25.2</v>
      </c>
      <c r="K326" s="135">
        <v>3.4020000000000001</v>
      </c>
      <c r="L326" s="135">
        <v>4.7880000000000003</v>
      </c>
      <c r="M326" s="135">
        <v>6.93</v>
      </c>
      <c r="N326" s="135">
        <v>8.7999999999999995E-2</v>
      </c>
      <c r="O326" s="135">
        <v>0</v>
      </c>
      <c r="P326" s="135">
        <v>8.0000000000000002E-3</v>
      </c>
      <c r="Q326" s="135">
        <v>8.9999999999999993E-3</v>
      </c>
      <c r="R326" s="135">
        <v>0.126</v>
      </c>
      <c r="S326" s="135">
        <v>0.63</v>
      </c>
      <c r="T326" s="98">
        <v>34.229999999999997</v>
      </c>
      <c r="U326" s="135">
        <v>0.49299999999999999</v>
      </c>
      <c r="V326" s="135">
        <v>0.49299999999999999</v>
      </c>
      <c r="W326" s="54"/>
    </row>
    <row r="327" spans="1:23" x14ac:dyDescent="0.2">
      <c r="A327" s="54"/>
      <c r="B327" s="201"/>
      <c r="C327" s="135" t="s">
        <v>49</v>
      </c>
      <c r="D327" s="210">
        <v>63</v>
      </c>
      <c r="E327" s="210">
        <v>63</v>
      </c>
      <c r="F327" s="241">
        <v>7.2450000000000001</v>
      </c>
      <c r="G327" s="241">
        <v>0.63</v>
      </c>
      <c r="H327" s="241">
        <v>4.6619999999999999</v>
      </c>
      <c r="I327" s="241">
        <v>207.9</v>
      </c>
      <c r="J327" s="241">
        <v>34.020000000000003</v>
      </c>
      <c r="K327" s="241">
        <v>15.12</v>
      </c>
      <c r="L327" s="241">
        <v>13.23</v>
      </c>
      <c r="M327" s="241">
        <v>1.1339999999999999</v>
      </c>
      <c r="N327" s="241">
        <v>1.1339999999999999</v>
      </c>
      <c r="O327" s="241">
        <v>0</v>
      </c>
      <c r="P327" s="241">
        <v>0.05</v>
      </c>
      <c r="Q327" s="241">
        <v>2.5000000000000001E-2</v>
      </c>
      <c r="R327" s="241">
        <v>1.008</v>
      </c>
      <c r="S327" s="241">
        <v>0</v>
      </c>
      <c r="T327" s="98">
        <v>44.35</v>
      </c>
      <c r="U327" s="135">
        <v>2.794</v>
      </c>
      <c r="V327" s="135">
        <v>2.794</v>
      </c>
      <c r="W327" s="54"/>
    </row>
    <row r="328" spans="1:23" x14ac:dyDescent="0.2">
      <c r="A328" s="54"/>
      <c r="B328" s="201"/>
      <c r="C328" s="135" t="s">
        <v>46</v>
      </c>
      <c r="D328" s="210">
        <v>2.5</v>
      </c>
      <c r="E328" s="210">
        <v>2.5</v>
      </c>
      <c r="F328" s="135">
        <v>0</v>
      </c>
      <c r="G328" s="135">
        <v>0</v>
      </c>
      <c r="H328" s="135">
        <v>0</v>
      </c>
      <c r="I328" s="135">
        <v>0</v>
      </c>
      <c r="J328" s="135">
        <v>0</v>
      </c>
      <c r="K328" s="135">
        <v>0</v>
      </c>
      <c r="L328" s="135">
        <v>0</v>
      </c>
      <c r="M328" s="135">
        <v>0</v>
      </c>
      <c r="N328" s="135">
        <v>0</v>
      </c>
      <c r="O328" s="135">
        <v>0</v>
      </c>
      <c r="P328" s="135">
        <v>0</v>
      </c>
      <c r="Q328" s="135">
        <v>0</v>
      </c>
      <c r="R328" s="135">
        <v>0</v>
      </c>
      <c r="S328" s="135">
        <v>0</v>
      </c>
      <c r="T328" s="98">
        <v>11.13</v>
      </c>
      <c r="U328" s="135">
        <v>2.8000000000000001E-2</v>
      </c>
      <c r="V328" s="135">
        <v>2.8000000000000001E-2</v>
      </c>
      <c r="W328" s="54"/>
    </row>
    <row r="329" spans="1:23" x14ac:dyDescent="0.2">
      <c r="A329" s="54"/>
      <c r="B329" s="201"/>
      <c r="C329" s="163" t="s">
        <v>47</v>
      </c>
      <c r="D329" s="138"/>
      <c r="E329" s="138"/>
      <c r="F329" s="138">
        <v>22.195</v>
      </c>
      <c r="G329" s="138">
        <v>15.14</v>
      </c>
      <c r="H329" s="138">
        <v>7.2089999999999996</v>
      </c>
      <c r="I329" s="138">
        <v>637.09</v>
      </c>
      <c r="J329" s="138">
        <v>440.48</v>
      </c>
      <c r="K329" s="138">
        <v>42.17</v>
      </c>
      <c r="L329" s="138">
        <v>51.13</v>
      </c>
      <c r="M329" s="138">
        <v>258.06</v>
      </c>
      <c r="N329" s="138">
        <v>3.1739999999999999</v>
      </c>
      <c r="O329" s="138">
        <v>0.05</v>
      </c>
      <c r="P329" s="138">
        <v>0.19400000000000001</v>
      </c>
      <c r="Q329" s="138">
        <v>0.254</v>
      </c>
      <c r="R329" s="138">
        <v>9.6419999999999995</v>
      </c>
      <c r="S329" s="138">
        <v>5.69</v>
      </c>
      <c r="T329" s="219"/>
      <c r="U329" s="135">
        <v>26.76</v>
      </c>
      <c r="V329" s="135">
        <v>26.76</v>
      </c>
      <c r="W329" s="54"/>
    </row>
    <row r="330" spans="1:23" x14ac:dyDescent="0.2">
      <c r="A330" s="54"/>
      <c r="B330" s="123" t="s">
        <v>73</v>
      </c>
      <c r="C330" s="21" t="s">
        <v>74</v>
      </c>
      <c r="D330" s="52" t="s">
        <v>75</v>
      </c>
      <c r="E330" s="52"/>
      <c r="F330" s="52"/>
      <c r="G330" s="52"/>
      <c r="H330" s="52"/>
      <c r="I330" s="52"/>
      <c r="J330" s="52"/>
      <c r="K330" s="245"/>
      <c r="L330" s="52"/>
      <c r="M330" s="245"/>
      <c r="N330" s="52"/>
      <c r="O330" s="52"/>
      <c r="P330" s="52"/>
      <c r="Q330" s="52"/>
      <c r="R330" s="52"/>
      <c r="S330" s="52"/>
      <c r="T330" s="236"/>
      <c r="U330" s="236"/>
      <c r="V330" s="206"/>
      <c r="W330" s="54"/>
    </row>
    <row r="331" spans="1:23" x14ac:dyDescent="0.2">
      <c r="A331" s="54"/>
      <c r="B331" s="201"/>
      <c r="C331" s="135" t="s">
        <v>40</v>
      </c>
      <c r="D331" s="135">
        <v>50</v>
      </c>
      <c r="E331" s="135">
        <v>50</v>
      </c>
      <c r="F331" s="135">
        <v>0.1</v>
      </c>
      <c r="G331" s="135">
        <v>0</v>
      </c>
      <c r="H331" s="135">
        <v>0</v>
      </c>
      <c r="I331" s="135">
        <v>0.8</v>
      </c>
      <c r="J331" s="135">
        <v>12.4</v>
      </c>
      <c r="K331" s="135">
        <v>2.5</v>
      </c>
      <c r="L331" s="135">
        <v>2.2000000000000002</v>
      </c>
      <c r="M331" s="135">
        <v>4.0999999999999996</v>
      </c>
      <c r="N331" s="135">
        <v>0.4</v>
      </c>
      <c r="O331" s="135">
        <v>0</v>
      </c>
      <c r="P331" s="135">
        <v>0</v>
      </c>
      <c r="Q331" s="135">
        <v>0</v>
      </c>
      <c r="R331" s="135">
        <v>0</v>
      </c>
      <c r="S331" s="135">
        <v>0</v>
      </c>
      <c r="T331" s="206">
        <v>0.41</v>
      </c>
      <c r="U331" s="206">
        <v>0.41</v>
      </c>
      <c r="V331" s="206">
        <v>0.41</v>
      </c>
      <c r="W331" s="54"/>
    </row>
    <row r="332" spans="1:23" x14ac:dyDescent="0.2">
      <c r="A332" s="54"/>
      <c r="B332" s="201"/>
      <c r="C332" s="209" t="s">
        <v>30</v>
      </c>
      <c r="D332" s="138">
        <v>15</v>
      </c>
      <c r="E332" s="138">
        <v>15</v>
      </c>
      <c r="F332" s="138">
        <v>0</v>
      </c>
      <c r="G332" s="138">
        <v>0</v>
      </c>
      <c r="H332" s="138">
        <v>15</v>
      </c>
      <c r="I332" s="138">
        <v>56.9</v>
      </c>
      <c r="J332" s="138">
        <v>0.5</v>
      </c>
      <c r="K332" s="138">
        <v>0.4</v>
      </c>
      <c r="L332" s="138">
        <v>0</v>
      </c>
      <c r="M332" s="138">
        <v>0</v>
      </c>
      <c r="N332" s="138">
        <v>0</v>
      </c>
      <c r="O332" s="138">
        <v>0</v>
      </c>
      <c r="P332" s="138">
        <v>0</v>
      </c>
      <c r="Q332" s="138">
        <v>0</v>
      </c>
      <c r="R332" s="138">
        <v>0</v>
      </c>
      <c r="S332" s="138">
        <v>0</v>
      </c>
      <c r="T332" s="206">
        <v>0.53</v>
      </c>
      <c r="U332" s="206">
        <v>0.53</v>
      </c>
      <c r="V332" s="206">
        <v>0.53</v>
      </c>
      <c r="W332" s="54"/>
    </row>
    <row r="333" spans="1:23" x14ac:dyDescent="0.2">
      <c r="A333" s="54"/>
      <c r="B333" s="201"/>
      <c r="C333" s="209" t="s">
        <v>35</v>
      </c>
      <c r="D333" s="135">
        <v>150</v>
      </c>
      <c r="E333" s="138">
        <v>150</v>
      </c>
      <c r="F333" s="141">
        <v>0</v>
      </c>
      <c r="G333" s="141">
        <v>0</v>
      </c>
      <c r="H333" s="141">
        <v>0</v>
      </c>
      <c r="I333" s="141">
        <v>0</v>
      </c>
      <c r="J333" s="141">
        <v>0</v>
      </c>
      <c r="K333" s="141">
        <v>0</v>
      </c>
      <c r="L333" s="141">
        <v>0</v>
      </c>
      <c r="M333" s="141">
        <v>0</v>
      </c>
      <c r="N333" s="141">
        <v>0</v>
      </c>
      <c r="O333" s="141">
        <v>0</v>
      </c>
      <c r="P333" s="141">
        <v>0</v>
      </c>
      <c r="Q333" s="141">
        <v>0</v>
      </c>
      <c r="R333" s="142">
        <v>0</v>
      </c>
      <c r="S333" s="143">
        <v>0</v>
      </c>
      <c r="T333" s="206">
        <v>0</v>
      </c>
      <c r="U333" s="206">
        <v>0</v>
      </c>
      <c r="V333" s="206">
        <v>0</v>
      </c>
      <c r="W333" s="54"/>
    </row>
    <row r="334" spans="1:23" x14ac:dyDescent="0.2">
      <c r="A334" s="54"/>
      <c r="B334" s="201"/>
      <c r="C334" s="18" t="s">
        <v>47</v>
      </c>
      <c r="D334" s="135"/>
      <c r="E334" s="135"/>
      <c r="F334" s="135">
        <v>0.1</v>
      </c>
      <c r="G334" s="135">
        <v>0</v>
      </c>
      <c r="H334" s="135">
        <v>15</v>
      </c>
      <c r="I334" s="135">
        <v>57.7</v>
      </c>
      <c r="J334" s="135">
        <v>12.9</v>
      </c>
      <c r="K334" s="135">
        <v>2.9</v>
      </c>
      <c r="L334" s="135">
        <v>2.2000000000000002</v>
      </c>
      <c r="M334" s="135">
        <v>4.12</v>
      </c>
      <c r="N334" s="135">
        <v>0.4</v>
      </c>
      <c r="O334" s="135">
        <v>0</v>
      </c>
      <c r="P334" s="135">
        <v>0</v>
      </c>
      <c r="Q334" s="135">
        <v>0</v>
      </c>
      <c r="R334" s="212">
        <v>0</v>
      </c>
      <c r="S334" s="80">
        <v>0</v>
      </c>
      <c r="T334" s="206">
        <v>0.94</v>
      </c>
      <c r="U334" s="206">
        <v>0.94</v>
      </c>
      <c r="V334" s="206">
        <v>0.94</v>
      </c>
      <c r="W334" s="54"/>
    </row>
    <row r="335" spans="1:23" ht="25.5" x14ac:dyDescent="0.2">
      <c r="A335" s="54"/>
      <c r="B335" s="123" t="s">
        <v>24</v>
      </c>
      <c r="C335" s="5" t="s">
        <v>105</v>
      </c>
      <c r="D335" s="14">
        <v>30</v>
      </c>
      <c r="E335" s="14">
        <v>30</v>
      </c>
      <c r="F335" s="14">
        <v>1.54</v>
      </c>
      <c r="G335" s="14">
        <v>0.6</v>
      </c>
      <c r="H335" s="14">
        <v>9.9600000000000009</v>
      </c>
      <c r="I335" s="14">
        <v>52.4</v>
      </c>
      <c r="J335" s="229">
        <v>25.4</v>
      </c>
      <c r="K335" s="14">
        <v>5.2</v>
      </c>
      <c r="L335" s="14">
        <v>7</v>
      </c>
      <c r="M335" s="14">
        <v>16.600000000000001</v>
      </c>
      <c r="N335" s="14">
        <v>0.32</v>
      </c>
      <c r="O335" s="14">
        <v>0</v>
      </c>
      <c r="P335" s="14">
        <v>3.2000000000000001E-2</v>
      </c>
      <c r="Q335" s="14">
        <v>1.6E-2</v>
      </c>
      <c r="R335" s="14">
        <v>0.308</v>
      </c>
      <c r="S335" s="14">
        <v>0</v>
      </c>
      <c r="T335" s="3">
        <v>29.29</v>
      </c>
      <c r="U335" s="96">
        <v>0.58584000000000003</v>
      </c>
      <c r="V335" s="98">
        <v>0.59</v>
      </c>
      <c r="W335" s="54"/>
    </row>
    <row r="336" spans="1:23" x14ac:dyDescent="0.2">
      <c r="A336" s="54"/>
      <c r="B336" s="123" t="s">
        <v>24</v>
      </c>
      <c r="C336" s="3" t="s">
        <v>106</v>
      </c>
      <c r="D336" s="50">
        <v>20</v>
      </c>
      <c r="E336" s="21">
        <v>20</v>
      </c>
      <c r="F336" s="3">
        <v>1.32</v>
      </c>
      <c r="G336" s="3">
        <v>0.24</v>
      </c>
      <c r="H336" s="3">
        <v>6.84</v>
      </c>
      <c r="I336" s="3">
        <v>36.200000000000003</v>
      </c>
      <c r="J336" s="3">
        <v>18.8</v>
      </c>
      <c r="K336" s="3">
        <v>6.8</v>
      </c>
      <c r="L336" s="3">
        <v>8.1999999999999993</v>
      </c>
      <c r="M336" s="3">
        <v>24</v>
      </c>
      <c r="N336" s="3">
        <v>0.46</v>
      </c>
      <c r="O336" s="3">
        <v>0</v>
      </c>
      <c r="P336" s="3">
        <v>2.1999999999999999E-2</v>
      </c>
      <c r="Q336" s="3">
        <v>1.6E-2</v>
      </c>
      <c r="R336" s="50">
        <v>0.128</v>
      </c>
      <c r="S336" s="3">
        <v>0</v>
      </c>
      <c r="T336" s="3">
        <v>35.9</v>
      </c>
      <c r="U336" s="32">
        <v>0.71799999999999997</v>
      </c>
      <c r="V336" s="219">
        <v>0.72</v>
      </c>
      <c r="W336" s="54"/>
    </row>
    <row r="337" spans="1:23" x14ac:dyDescent="0.2">
      <c r="A337" s="54"/>
      <c r="B337" s="123"/>
      <c r="C337" s="5" t="s">
        <v>25</v>
      </c>
      <c r="D337" s="14"/>
      <c r="E337" s="3"/>
      <c r="F337" s="14">
        <v>35.649149999999999</v>
      </c>
      <c r="G337" s="14">
        <v>36.332999999999998</v>
      </c>
      <c r="H337" s="14">
        <v>125.3519</v>
      </c>
      <c r="I337" s="14">
        <v>893.72799999999995</v>
      </c>
      <c r="J337" s="14">
        <v>688.45399999999995</v>
      </c>
      <c r="K337" s="14">
        <v>89.891000000000005</v>
      </c>
      <c r="L337" s="14">
        <v>96.603999999999999</v>
      </c>
      <c r="M337" s="14">
        <v>244.1985</v>
      </c>
      <c r="N337" s="14">
        <v>11.308350000000001</v>
      </c>
      <c r="O337" s="14">
        <v>6.0798500000000004</v>
      </c>
      <c r="P337" s="14">
        <v>6.296475</v>
      </c>
      <c r="Q337" s="14">
        <v>6.197063</v>
      </c>
      <c r="R337" s="204">
        <v>12.993449999999999</v>
      </c>
      <c r="S337" s="14">
        <v>28.57</v>
      </c>
      <c r="U337" s="96">
        <v>39.4</v>
      </c>
      <c r="V337" s="84">
        <v>39.4</v>
      </c>
      <c r="W337" s="54"/>
    </row>
    <row r="338" spans="1:23" x14ac:dyDescent="0.2">
      <c r="A338" s="54"/>
      <c r="B338" s="123"/>
      <c r="C338" s="196" t="s">
        <v>64</v>
      </c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3"/>
      <c r="V338" s="52"/>
      <c r="W338" s="54"/>
    </row>
    <row r="339" spans="1:23" x14ac:dyDescent="0.2">
      <c r="A339" s="54"/>
      <c r="B339" s="123"/>
      <c r="C339" s="196" t="s">
        <v>1</v>
      </c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3"/>
      <c r="V339" s="21"/>
      <c r="W339" s="54"/>
    </row>
    <row r="340" spans="1:23" ht="25.5" x14ac:dyDescent="0.2">
      <c r="A340" s="54"/>
      <c r="B340" s="123" t="s">
        <v>101</v>
      </c>
      <c r="C340" s="19" t="s">
        <v>102</v>
      </c>
      <c r="D340" s="52"/>
      <c r="E340" s="21">
        <v>250</v>
      </c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93"/>
      <c r="U340" s="52"/>
      <c r="V340" s="52"/>
      <c r="W340" s="54"/>
    </row>
    <row r="341" spans="1:23" x14ac:dyDescent="0.2">
      <c r="A341" s="54"/>
      <c r="B341" s="201"/>
      <c r="C341" s="209" t="s">
        <v>31</v>
      </c>
      <c r="D341" s="135">
        <v>100</v>
      </c>
      <c r="E341" s="135">
        <v>75</v>
      </c>
      <c r="F341" s="135">
        <v>1.5</v>
      </c>
      <c r="G341" s="135">
        <v>0.3</v>
      </c>
      <c r="H341" s="135">
        <v>12.22</v>
      </c>
      <c r="I341" s="135">
        <v>57.75</v>
      </c>
      <c r="J341" s="135">
        <v>426</v>
      </c>
      <c r="K341" s="135">
        <v>7.5</v>
      </c>
      <c r="L341" s="135">
        <v>17.25</v>
      </c>
      <c r="M341" s="135">
        <v>43.5</v>
      </c>
      <c r="N341" s="135">
        <v>0.68</v>
      </c>
      <c r="O341" s="135">
        <v>0</v>
      </c>
      <c r="P341" s="135">
        <v>0.09</v>
      </c>
      <c r="Q341" s="135">
        <v>0.05</v>
      </c>
      <c r="R341" s="135">
        <v>0.98</v>
      </c>
      <c r="S341" s="135">
        <v>15</v>
      </c>
      <c r="T341" s="98">
        <v>35.76</v>
      </c>
      <c r="U341" s="135">
        <v>3.5760000000000001</v>
      </c>
      <c r="V341" s="135">
        <v>3.5760000000000001</v>
      </c>
      <c r="W341" s="54"/>
    </row>
    <row r="342" spans="1:23" ht="25.5" x14ac:dyDescent="0.2">
      <c r="A342" s="54"/>
      <c r="B342" s="201"/>
      <c r="C342" s="209" t="s">
        <v>103</v>
      </c>
      <c r="D342" s="135">
        <v>10</v>
      </c>
      <c r="E342" s="135">
        <v>10</v>
      </c>
      <c r="F342" s="135">
        <v>1</v>
      </c>
      <c r="G342" s="135">
        <v>0.1</v>
      </c>
      <c r="H342" s="135">
        <v>6.97</v>
      </c>
      <c r="I342" s="135">
        <v>33.700000000000003</v>
      </c>
      <c r="J342" s="135">
        <v>12.4</v>
      </c>
      <c r="K342" s="135">
        <v>1.8</v>
      </c>
      <c r="L342" s="135">
        <v>1.6</v>
      </c>
      <c r="M342" s="135">
        <v>8.6999999999999993</v>
      </c>
      <c r="N342" s="135">
        <v>0.12</v>
      </c>
      <c r="O342" s="135">
        <v>0</v>
      </c>
      <c r="P342" s="135">
        <v>0</v>
      </c>
      <c r="Q342" s="135">
        <v>0</v>
      </c>
      <c r="R342" s="135">
        <v>0.121</v>
      </c>
      <c r="S342" s="135">
        <v>0</v>
      </c>
      <c r="T342" s="98">
        <v>39.74</v>
      </c>
      <c r="U342" s="135">
        <v>0.39700000000000002</v>
      </c>
      <c r="V342" s="135">
        <v>0.39700000000000002</v>
      </c>
      <c r="W342" s="54"/>
    </row>
    <row r="343" spans="1:23" x14ac:dyDescent="0.2">
      <c r="A343" s="54"/>
      <c r="B343" s="201"/>
      <c r="C343" s="209" t="s">
        <v>33</v>
      </c>
      <c r="D343" s="135">
        <v>12</v>
      </c>
      <c r="E343" s="135">
        <v>10</v>
      </c>
      <c r="F343" s="135">
        <v>0.14000000000000001</v>
      </c>
      <c r="G343" s="135">
        <v>0</v>
      </c>
      <c r="H343" s="135">
        <v>0.82</v>
      </c>
      <c r="I343" s="135">
        <v>4.0999999999999996</v>
      </c>
      <c r="J343" s="135">
        <v>17.5</v>
      </c>
      <c r="K343" s="135">
        <v>3.1</v>
      </c>
      <c r="L343" s="135">
        <v>1.4</v>
      </c>
      <c r="M343" s="135">
        <v>5.8</v>
      </c>
      <c r="N343" s="135">
        <v>0.08</v>
      </c>
      <c r="O343" s="135">
        <v>0</v>
      </c>
      <c r="P343" s="135">
        <v>0</v>
      </c>
      <c r="Q343" s="135">
        <v>0</v>
      </c>
      <c r="R343" s="135">
        <v>0</v>
      </c>
      <c r="S343" s="135">
        <v>1</v>
      </c>
      <c r="T343" s="98">
        <v>34.229999999999997</v>
      </c>
      <c r="U343" s="135">
        <v>0.41099999999999998</v>
      </c>
      <c r="V343" s="135">
        <v>0.41099999999999998</v>
      </c>
      <c r="W343" s="54"/>
    </row>
    <row r="344" spans="1:23" x14ac:dyDescent="0.2">
      <c r="A344" s="54"/>
      <c r="B344" s="201"/>
      <c r="C344" s="209" t="s">
        <v>32</v>
      </c>
      <c r="D344" s="135">
        <v>12.5</v>
      </c>
      <c r="E344" s="135">
        <v>10</v>
      </c>
      <c r="F344" s="135">
        <v>0.13</v>
      </c>
      <c r="G344" s="135">
        <v>0</v>
      </c>
      <c r="H344" s="135">
        <v>0.69</v>
      </c>
      <c r="I344" s="135">
        <v>3.5</v>
      </c>
      <c r="J344" s="135">
        <v>20</v>
      </c>
      <c r="K344" s="135">
        <v>2.7</v>
      </c>
      <c r="L344" s="135">
        <v>3.8</v>
      </c>
      <c r="M344" s="135">
        <v>5.5</v>
      </c>
      <c r="N344" s="135">
        <v>7.0000000000000007E-2</v>
      </c>
      <c r="O344" s="135">
        <v>0</v>
      </c>
      <c r="P344" s="135">
        <v>0</v>
      </c>
      <c r="Q344" s="135">
        <v>0</v>
      </c>
      <c r="R344" s="135">
        <v>0.1</v>
      </c>
      <c r="S344" s="135">
        <v>0.5</v>
      </c>
      <c r="T344" s="98">
        <v>34.6</v>
      </c>
      <c r="U344" s="135">
        <v>0.433</v>
      </c>
      <c r="V344" s="135">
        <v>0.433</v>
      </c>
      <c r="W344" s="54"/>
    </row>
    <row r="345" spans="1:23" ht="25.5" x14ac:dyDescent="0.2">
      <c r="A345" s="54"/>
      <c r="B345" s="201"/>
      <c r="C345" s="209" t="s">
        <v>34</v>
      </c>
      <c r="D345" s="135">
        <v>2.5</v>
      </c>
      <c r="E345" s="135">
        <v>2.5</v>
      </c>
      <c r="F345" s="135">
        <v>0</v>
      </c>
      <c r="G345" s="135">
        <v>2.5</v>
      </c>
      <c r="H345" s="135">
        <v>0</v>
      </c>
      <c r="I345" s="135">
        <v>22.5</v>
      </c>
      <c r="J345" s="135">
        <v>0</v>
      </c>
      <c r="K345" s="135">
        <v>0</v>
      </c>
      <c r="L345" s="135">
        <v>0</v>
      </c>
      <c r="M345" s="135">
        <v>0</v>
      </c>
      <c r="N345" s="135">
        <v>0</v>
      </c>
      <c r="O345" s="135">
        <v>0</v>
      </c>
      <c r="P345" s="135">
        <v>0</v>
      </c>
      <c r="Q345" s="135">
        <v>0</v>
      </c>
      <c r="R345" s="135">
        <v>0</v>
      </c>
      <c r="S345" s="135">
        <v>0</v>
      </c>
      <c r="T345" s="98">
        <v>70.400000000000006</v>
      </c>
      <c r="U345" s="135">
        <v>0.17599999999999999</v>
      </c>
      <c r="V345" s="135">
        <v>0.17599999999999999</v>
      </c>
      <c r="W345" s="54"/>
    </row>
    <row r="346" spans="1:23" x14ac:dyDescent="0.2">
      <c r="A346" s="54"/>
      <c r="B346" s="201"/>
      <c r="C346" s="209" t="s">
        <v>46</v>
      </c>
      <c r="D346" s="135">
        <v>2.5</v>
      </c>
      <c r="E346" s="135">
        <v>2.5</v>
      </c>
      <c r="F346" s="135">
        <v>0</v>
      </c>
      <c r="G346" s="135">
        <v>0</v>
      </c>
      <c r="H346" s="135">
        <v>0</v>
      </c>
      <c r="I346" s="135">
        <v>0</v>
      </c>
      <c r="J346" s="135">
        <v>0</v>
      </c>
      <c r="K346" s="135">
        <v>0</v>
      </c>
      <c r="L346" s="135">
        <v>0</v>
      </c>
      <c r="M346" s="135">
        <v>0</v>
      </c>
      <c r="N346" s="135">
        <v>0</v>
      </c>
      <c r="O346" s="135">
        <v>0</v>
      </c>
      <c r="P346" s="135">
        <v>0</v>
      </c>
      <c r="Q346" s="135">
        <v>0</v>
      </c>
      <c r="R346" s="135">
        <v>0</v>
      </c>
      <c r="S346" s="135">
        <v>0</v>
      </c>
      <c r="T346" s="98">
        <v>11.13</v>
      </c>
      <c r="U346" s="135">
        <v>2.8000000000000001E-2</v>
      </c>
      <c r="V346" s="135">
        <v>2.8000000000000001E-2</v>
      </c>
      <c r="W346" s="54"/>
    </row>
    <row r="347" spans="1:23" x14ac:dyDescent="0.2">
      <c r="A347" s="54"/>
      <c r="B347" s="201"/>
      <c r="C347" s="209" t="s">
        <v>35</v>
      </c>
      <c r="D347" s="135">
        <v>175</v>
      </c>
      <c r="E347" s="135">
        <v>175</v>
      </c>
      <c r="F347" s="135">
        <v>0</v>
      </c>
      <c r="G347" s="135">
        <v>0</v>
      </c>
      <c r="H347" s="135">
        <v>0</v>
      </c>
      <c r="I347" s="135">
        <v>0</v>
      </c>
      <c r="J347" s="135">
        <v>0</v>
      </c>
      <c r="K347" s="135">
        <v>0</v>
      </c>
      <c r="L347" s="135">
        <v>0</v>
      </c>
      <c r="M347" s="135">
        <v>0</v>
      </c>
      <c r="N347" s="135">
        <v>0</v>
      </c>
      <c r="O347" s="135">
        <v>0</v>
      </c>
      <c r="P347" s="135">
        <v>0</v>
      </c>
      <c r="Q347" s="135">
        <v>0</v>
      </c>
      <c r="R347" s="135">
        <v>0</v>
      </c>
      <c r="S347" s="135">
        <v>0</v>
      </c>
      <c r="T347" s="98">
        <v>0</v>
      </c>
      <c r="U347" s="135">
        <v>0</v>
      </c>
      <c r="V347" s="135">
        <v>0</v>
      </c>
      <c r="W347" s="54"/>
    </row>
    <row r="348" spans="1:23" x14ac:dyDescent="0.2">
      <c r="A348" s="54"/>
      <c r="B348" s="201"/>
      <c r="C348" s="138" t="s">
        <v>77</v>
      </c>
      <c r="D348" s="138"/>
      <c r="E348" s="138"/>
      <c r="F348" s="138">
        <v>2.77</v>
      </c>
      <c r="G348" s="138">
        <v>2.9</v>
      </c>
      <c r="H348" s="138">
        <v>20.7</v>
      </c>
      <c r="I348" s="138">
        <v>121.55</v>
      </c>
      <c r="J348" s="138">
        <v>475.9</v>
      </c>
      <c r="K348" s="138">
        <v>15.1</v>
      </c>
      <c r="L348" s="138">
        <v>24.05</v>
      </c>
      <c r="M348" s="138">
        <v>63.5</v>
      </c>
      <c r="N348" s="138">
        <v>0.95</v>
      </c>
      <c r="O348" s="138">
        <v>0</v>
      </c>
      <c r="P348" s="138">
        <v>0.09</v>
      </c>
      <c r="Q348" s="138">
        <v>0.05</v>
      </c>
      <c r="R348" s="138">
        <v>1.2010000000000001</v>
      </c>
      <c r="S348" s="138">
        <v>16.5</v>
      </c>
      <c r="T348" s="219"/>
      <c r="U348" s="135">
        <v>5.0199999999999996</v>
      </c>
      <c r="V348" s="135">
        <v>5.0199999999999996</v>
      </c>
      <c r="W348" s="54"/>
    </row>
    <row r="349" spans="1:23" x14ac:dyDescent="0.2">
      <c r="A349" s="54"/>
      <c r="B349" s="3" t="s">
        <v>115</v>
      </c>
      <c r="C349" s="145" t="s">
        <v>116</v>
      </c>
      <c r="D349" s="313">
        <v>280</v>
      </c>
      <c r="E349" s="314"/>
      <c r="F349" s="131"/>
      <c r="G349" s="131"/>
      <c r="H349" s="131"/>
      <c r="I349" s="131"/>
      <c r="J349" s="132"/>
      <c r="K349" s="131"/>
      <c r="L349" s="131"/>
      <c r="M349" s="132"/>
      <c r="N349" s="131"/>
      <c r="O349" s="131"/>
      <c r="P349" s="131"/>
      <c r="Q349" s="131"/>
      <c r="R349" s="131"/>
      <c r="S349" s="131"/>
      <c r="V349" s="52"/>
      <c r="W349" s="54"/>
    </row>
    <row r="350" spans="1:23" x14ac:dyDescent="0.2">
      <c r="A350" s="54"/>
      <c r="B350" s="57"/>
      <c r="C350" s="256" t="s">
        <v>44</v>
      </c>
      <c r="D350" s="210">
        <v>192</v>
      </c>
      <c r="E350" s="210">
        <v>136</v>
      </c>
      <c r="F350" s="205">
        <v>25.431999999999999</v>
      </c>
      <c r="G350" s="205">
        <v>21.896000000000001</v>
      </c>
      <c r="H350" s="205">
        <v>0</v>
      </c>
      <c r="I350" s="205">
        <v>299.2</v>
      </c>
      <c r="J350" s="244">
        <v>321</v>
      </c>
      <c r="K350" s="205">
        <v>19.04</v>
      </c>
      <c r="L350" s="205">
        <v>25.84</v>
      </c>
      <c r="M350" s="205">
        <v>217.6</v>
      </c>
      <c r="N350" s="205">
        <v>1.768</v>
      </c>
      <c r="O350" s="205">
        <v>0.05</v>
      </c>
      <c r="P350" s="205">
        <v>0.122</v>
      </c>
      <c r="Q350" s="205">
        <v>0.20399999999999999</v>
      </c>
      <c r="R350" s="205">
        <v>8.2959999999999994</v>
      </c>
      <c r="S350" s="205">
        <v>2.72</v>
      </c>
      <c r="U350" s="205">
        <v>2.72</v>
      </c>
      <c r="V350" s="205">
        <v>2.72</v>
      </c>
      <c r="W350" s="54"/>
    </row>
    <row r="351" spans="1:23" x14ac:dyDescent="0.2">
      <c r="A351" s="54"/>
      <c r="B351" s="57"/>
      <c r="C351" s="250" t="s">
        <v>34</v>
      </c>
      <c r="D351" s="210">
        <v>10</v>
      </c>
      <c r="E351" s="210">
        <v>10</v>
      </c>
      <c r="F351" s="135">
        <v>0</v>
      </c>
      <c r="G351" s="135">
        <v>9.99</v>
      </c>
      <c r="H351" s="135">
        <v>0</v>
      </c>
      <c r="I351" s="135">
        <v>89.9</v>
      </c>
      <c r="J351" s="207">
        <v>0</v>
      </c>
      <c r="K351" s="135">
        <v>0</v>
      </c>
      <c r="L351" s="135">
        <v>0</v>
      </c>
      <c r="M351" s="208">
        <v>0</v>
      </c>
      <c r="N351" s="135">
        <v>0</v>
      </c>
      <c r="O351" s="135">
        <v>0</v>
      </c>
      <c r="P351" s="135">
        <v>0</v>
      </c>
      <c r="Q351" s="135">
        <v>0</v>
      </c>
      <c r="R351" s="135">
        <v>0</v>
      </c>
      <c r="S351" s="135">
        <v>0</v>
      </c>
      <c r="U351" s="135">
        <v>0</v>
      </c>
      <c r="V351" s="135">
        <v>0</v>
      </c>
      <c r="W351" s="54"/>
    </row>
    <row r="352" spans="1:23" x14ac:dyDescent="0.2">
      <c r="A352" s="54"/>
      <c r="B352" s="57"/>
      <c r="C352" s="256" t="s">
        <v>31</v>
      </c>
      <c r="D352" s="210">
        <v>154</v>
      </c>
      <c r="E352" s="210">
        <v>115</v>
      </c>
      <c r="F352" s="135">
        <v>2.2999999999999998</v>
      </c>
      <c r="G352" s="135">
        <v>0.46</v>
      </c>
      <c r="H352" s="135">
        <v>18.745000000000001</v>
      </c>
      <c r="I352" s="135">
        <v>88.55</v>
      </c>
      <c r="J352" s="135">
        <v>653.20000000000005</v>
      </c>
      <c r="K352" s="135">
        <v>11.5</v>
      </c>
      <c r="L352" s="135">
        <v>26.45</v>
      </c>
      <c r="M352" s="135">
        <v>66.7</v>
      </c>
      <c r="N352" s="135">
        <v>1.0349999999999999</v>
      </c>
      <c r="O352" s="135">
        <v>0</v>
      </c>
      <c r="P352" s="135">
        <v>0.13800000000000001</v>
      </c>
      <c r="Q352" s="135">
        <v>8.1000000000000003E-2</v>
      </c>
      <c r="R352" s="135">
        <v>1.4950000000000001</v>
      </c>
      <c r="S352" s="135">
        <v>23</v>
      </c>
      <c r="U352" s="135">
        <v>23</v>
      </c>
      <c r="V352" s="135">
        <v>23</v>
      </c>
      <c r="W352" s="54"/>
    </row>
    <row r="353" spans="1:23" x14ac:dyDescent="0.2">
      <c r="A353" s="54"/>
      <c r="B353" s="57"/>
      <c r="C353" s="256" t="s">
        <v>32</v>
      </c>
      <c r="D353" s="210">
        <v>30</v>
      </c>
      <c r="E353" s="210">
        <v>24</v>
      </c>
      <c r="F353" s="135">
        <v>0.312</v>
      </c>
      <c r="G353" s="135">
        <v>2.4E-2</v>
      </c>
      <c r="H353" s="135">
        <v>1.6559999999999999</v>
      </c>
      <c r="I353" s="135">
        <v>8.4</v>
      </c>
      <c r="J353" s="135">
        <v>48</v>
      </c>
      <c r="K353" s="135">
        <v>6.48</v>
      </c>
      <c r="L353" s="135">
        <v>9.1199999999999992</v>
      </c>
      <c r="M353" s="135">
        <v>13.2</v>
      </c>
      <c r="N353" s="135">
        <v>0.16800000000000001</v>
      </c>
      <c r="O353" s="135">
        <v>0</v>
      </c>
      <c r="P353" s="135">
        <v>1.4E-2</v>
      </c>
      <c r="Q353" s="135">
        <v>1.7000000000000001E-2</v>
      </c>
      <c r="R353" s="135">
        <v>0.24</v>
      </c>
      <c r="S353" s="135">
        <v>1.2</v>
      </c>
      <c r="U353" s="135">
        <v>1.2</v>
      </c>
      <c r="V353" s="135">
        <v>1.2</v>
      </c>
      <c r="W353" s="54"/>
    </row>
    <row r="354" spans="1:23" x14ac:dyDescent="0.2">
      <c r="A354" s="54"/>
      <c r="B354" s="57"/>
      <c r="C354" s="256" t="s">
        <v>36</v>
      </c>
      <c r="D354" s="210">
        <v>4</v>
      </c>
      <c r="E354" s="210">
        <v>4</v>
      </c>
      <c r="F354" s="241">
        <v>0.192</v>
      </c>
      <c r="G354" s="241">
        <v>0</v>
      </c>
      <c r="H354" s="241">
        <v>0.76</v>
      </c>
      <c r="I354" s="241">
        <v>4.08</v>
      </c>
      <c r="J354" s="255">
        <v>35</v>
      </c>
      <c r="K354" s="241">
        <v>0.8</v>
      </c>
      <c r="L354" s="241">
        <v>2</v>
      </c>
      <c r="M354" s="241">
        <v>27.2</v>
      </c>
      <c r="N354" s="241">
        <v>9.1999999999999998E-2</v>
      </c>
      <c r="O354" s="241">
        <v>0</v>
      </c>
      <c r="P354" s="241">
        <v>6.0000000000000001E-3</v>
      </c>
      <c r="Q354" s="241">
        <v>7.0000000000000001E-3</v>
      </c>
      <c r="R354" s="241">
        <v>7.5999999999999998E-2</v>
      </c>
      <c r="S354" s="241">
        <v>1.8</v>
      </c>
      <c r="T354" s="14"/>
      <c r="U354" s="241">
        <v>1.8</v>
      </c>
      <c r="V354" s="241">
        <v>1.8</v>
      </c>
      <c r="W354" s="54"/>
    </row>
    <row r="355" spans="1:23" x14ac:dyDescent="0.2">
      <c r="A355" s="54"/>
      <c r="B355" s="80"/>
      <c r="C355" s="256" t="s">
        <v>33</v>
      </c>
      <c r="D355" s="210">
        <v>17</v>
      </c>
      <c r="E355" s="210">
        <v>14</v>
      </c>
      <c r="F355" s="135">
        <v>0.182</v>
      </c>
      <c r="G355" s="135">
        <v>1.4E-2</v>
      </c>
      <c r="H355" s="135">
        <v>0.96599999999999997</v>
      </c>
      <c r="I355" s="135">
        <v>4.9000000000000004</v>
      </c>
      <c r="J355" s="135">
        <v>28</v>
      </c>
      <c r="K355" s="135">
        <v>3.78</v>
      </c>
      <c r="L355" s="135">
        <v>5.32</v>
      </c>
      <c r="M355" s="135">
        <v>7.7</v>
      </c>
      <c r="N355" s="135">
        <v>9.8000000000000004E-2</v>
      </c>
      <c r="O355" s="135">
        <v>0</v>
      </c>
      <c r="P355" s="135">
        <v>8.0000000000000002E-3</v>
      </c>
      <c r="Q355" s="135">
        <v>0.01</v>
      </c>
      <c r="R355" s="135">
        <v>0.14000000000000001</v>
      </c>
      <c r="S355" s="135">
        <v>0.7</v>
      </c>
      <c r="T355" s="3"/>
      <c r="U355" s="135">
        <v>0.7</v>
      </c>
      <c r="V355" s="135">
        <v>0.7</v>
      </c>
      <c r="W355" s="54"/>
    </row>
    <row r="356" spans="1:23" x14ac:dyDescent="0.2">
      <c r="A356" s="54"/>
      <c r="B356" s="57"/>
      <c r="C356" s="256" t="s">
        <v>38</v>
      </c>
      <c r="D356" s="210">
        <v>5.7</v>
      </c>
      <c r="E356" s="210">
        <v>5.7</v>
      </c>
      <c r="F356" s="135">
        <v>0.58709999999999996</v>
      </c>
      <c r="G356" s="135">
        <v>6.2700000000000006E-2</v>
      </c>
      <c r="H356" s="135">
        <v>3.9329999999999998</v>
      </c>
      <c r="I356" s="135">
        <v>19.038</v>
      </c>
      <c r="J356" s="207">
        <v>10</v>
      </c>
      <c r="K356" s="135">
        <v>1.3680000000000001</v>
      </c>
      <c r="L356" s="135">
        <v>2.508</v>
      </c>
      <c r="M356" s="211">
        <v>6.6</v>
      </c>
      <c r="N356" s="135">
        <v>0.12</v>
      </c>
      <c r="O356" s="135">
        <v>0</v>
      </c>
      <c r="P356" s="135">
        <v>0.01</v>
      </c>
      <c r="Q356" s="135">
        <v>5.0000000000000001E-3</v>
      </c>
      <c r="R356" s="135">
        <v>6.8000000000000005E-2</v>
      </c>
      <c r="S356" s="135">
        <v>0</v>
      </c>
      <c r="T356" s="3"/>
      <c r="U356" s="135">
        <v>0</v>
      </c>
      <c r="V356" s="135">
        <v>0</v>
      </c>
      <c r="W356" s="54"/>
    </row>
    <row r="357" spans="1:23" x14ac:dyDescent="0.2">
      <c r="A357" s="54"/>
      <c r="B357" s="57"/>
      <c r="C357" s="256" t="s">
        <v>46</v>
      </c>
      <c r="D357" s="210">
        <v>3</v>
      </c>
      <c r="E357" s="210">
        <v>3</v>
      </c>
      <c r="F357" s="135">
        <v>0</v>
      </c>
      <c r="G357" s="135">
        <v>0</v>
      </c>
      <c r="H357" s="135">
        <v>0</v>
      </c>
      <c r="I357" s="135">
        <v>0</v>
      </c>
      <c r="J357" s="135">
        <v>0</v>
      </c>
      <c r="K357" s="135">
        <v>0</v>
      </c>
      <c r="L357" s="135">
        <v>0</v>
      </c>
      <c r="M357" s="135">
        <v>0</v>
      </c>
      <c r="N357" s="135">
        <v>0</v>
      </c>
      <c r="O357" s="135">
        <v>0</v>
      </c>
      <c r="P357" s="135">
        <v>0</v>
      </c>
      <c r="Q357" s="135">
        <v>0</v>
      </c>
      <c r="R357" s="135">
        <v>0</v>
      </c>
      <c r="S357" s="135">
        <v>0</v>
      </c>
      <c r="T357" s="3"/>
      <c r="U357" s="135">
        <v>0</v>
      </c>
      <c r="V357" s="135">
        <v>0</v>
      </c>
      <c r="W357" s="54"/>
    </row>
    <row r="358" spans="1:23" x14ac:dyDescent="0.2">
      <c r="A358" s="54"/>
      <c r="B358" s="57"/>
      <c r="C358" s="18" t="s">
        <v>47</v>
      </c>
      <c r="D358" s="138"/>
      <c r="E358" s="138"/>
      <c r="F358" s="157">
        <v>29.004999999999999</v>
      </c>
      <c r="G358" s="157">
        <v>32.447000000000003</v>
      </c>
      <c r="H358" s="157">
        <v>26.06</v>
      </c>
      <c r="I358" s="157">
        <v>514.07000000000005</v>
      </c>
      <c r="J358" s="157">
        <v>1095.192</v>
      </c>
      <c r="K358" s="157">
        <v>42.968000000000004</v>
      </c>
      <c r="L358" s="157">
        <v>71.238</v>
      </c>
      <c r="M358" s="157">
        <v>338.96</v>
      </c>
      <c r="N358" s="157">
        <v>3.2810000000000001</v>
      </c>
      <c r="O358" s="157">
        <v>0.05</v>
      </c>
      <c r="P358" s="157">
        <v>0.29899999999999999</v>
      </c>
      <c r="Q358" s="157">
        <v>0.32200000000000001</v>
      </c>
      <c r="R358" s="157">
        <v>10.32</v>
      </c>
      <c r="S358" s="157">
        <v>29.42</v>
      </c>
      <c r="T358" s="69"/>
      <c r="U358" s="157">
        <v>29.42</v>
      </c>
      <c r="V358" s="157">
        <v>29.42</v>
      </c>
      <c r="W358" s="54"/>
    </row>
    <row r="359" spans="1:23" x14ac:dyDescent="0.2">
      <c r="A359" s="54"/>
      <c r="B359" s="123" t="s">
        <v>73</v>
      </c>
      <c r="C359" s="21" t="s">
        <v>74</v>
      </c>
      <c r="D359" s="52" t="s">
        <v>75</v>
      </c>
      <c r="E359" s="52"/>
      <c r="F359" s="52"/>
      <c r="G359" s="52"/>
      <c r="H359" s="52"/>
      <c r="I359" s="52"/>
      <c r="J359" s="52"/>
      <c r="K359" s="245"/>
      <c r="L359" s="52"/>
      <c r="M359" s="245"/>
      <c r="N359" s="52"/>
      <c r="O359" s="52"/>
      <c r="P359" s="52"/>
      <c r="Q359" s="52"/>
      <c r="R359" s="52"/>
      <c r="S359" s="52"/>
      <c r="T359" s="236"/>
      <c r="U359" s="236"/>
      <c r="V359" s="221"/>
      <c r="W359" s="54"/>
    </row>
    <row r="360" spans="1:23" x14ac:dyDescent="0.2">
      <c r="A360" s="54"/>
      <c r="B360" s="201"/>
      <c r="C360" s="135" t="s">
        <v>40</v>
      </c>
      <c r="D360" s="135">
        <v>50</v>
      </c>
      <c r="E360" s="135">
        <v>50</v>
      </c>
      <c r="F360" s="135">
        <v>0.1</v>
      </c>
      <c r="G360" s="135">
        <v>0</v>
      </c>
      <c r="H360" s="135">
        <v>0</v>
      </c>
      <c r="I360" s="135">
        <v>0.8</v>
      </c>
      <c r="J360" s="135">
        <v>12.4</v>
      </c>
      <c r="K360" s="135">
        <v>2.5</v>
      </c>
      <c r="L360" s="135">
        <v>2.2000000000000002</v>
      </c>
      <c r="M360" s="135">
        <v>4.0999999999999996</v>
      </c>
      <c r="N360" s="135">
        <v>0.4</v>
      </c>
      <c r="O360" s="135">
        <v>0</v>
      </c>
      <c r="P360" s="135">
        <v>0</v>
      </c>
      <c r="Q360" s="135">
        <v>0</v>
      </c>
      <c r="R360" s="135">
        <v>0</v>
      </c>
      <c r="S360" s="135">
        <v>0</v>
      </c>
      <c r="T360" s="206">
        <v>0.41</v>
      </c>
      <c r="U360" s="206">
        <v>0.41</v>
      </c>
      <c r="V360" s="206">
        <v>0.41</v>
      </c>
      <c r="W360" s="54"/>
    </row>
    <row r="361" spans="1:23" x14ac:dyDescent="0.2">
      <c r="A361" s="54"/>
      <c r="B361" s="201"/>
      <c r="C361" s="209" t="s">
        <v>30</v>
      </c>
      <c r="D361" s="138">
        <v>15</v>
      </c>
      <c r="E361" s="138">
        <v>15</v>
      </c>
      <c r="F361" s="138">
        <v>0</v>
      </c>
      <c r="G361" s="138">
        <v>0</v>
      </c>
      <c r="H361" s="138">
        <v>15</v>
      </c>
      <c r="I361" s="138">
        <v>56.9</v>
      </c>
      <c r="J361" s="138">
        <v>0.5</v>
      </c>
      <c r="K361" s="138">
        <v>0.4</v>
      </c>
      <c r="L361" s="138">
        <v>0</v>
      </c>
      <c r="M361" s="138">
        <v>0</v>
      </c>
      <c r="N361" s="138">
        <v>0</v>
      </c>
      <c r="O361" s="138">
        <v>0</v>
      </c>
      <c r="P361" s="138">
        <v>0</v>
      </c>
      <c r="Q361" s="138">
        <v>0</v>
      </c>
      <c r="R361" s="138">
        <v>0</v>
      </c>
      <c r="S361" s="138">
        <v>0</v>
      </c>
      <c r="T361" s="206">
        <v>0.53</v>
      </c>
      <c r="U361" s="206">
        <v>0.53</v>
      </c>
      <c r="V361" s="206">
        <v>0.53</v>
      </c>
      <c r="W361" s="54"/>
    </row>
    <row r="362" spans="1:23" x14ac:dyDescent="0.2">
      <c r="A362" s="54"/>
      <c r="B362" s="201"/>
      <c r="C362" s="209" t="s">
        <v>35</v>
      </c>
      <c r="D362" s="135">
        <v>150</v>
      </c>
      <c r="E362" s="138">
        <v>150</v>
      </c>
      <c r="F362" s="141">
        <v>0</v>
      </c>
      <c r="G362" s="141">
        <v>0</v>
      </c>
      <c r="H362" s="141">
        <v>0</v>
      </c>
      <c r="I362" s="141">
        <v>0</v>
      </c>
      <c r="J362" s="141">
        <v>0</v>
      </c>
      <c r="K362" s="141">
        <v>0</v>
      </c>
      <c r="L362" s="141">
        <v>0</v>
      </c>
      <c r="M362" s="141">
        <v>0</v>
      </c>
      <c r="N362" s="141">
        <v>0</v>
      </c>
      <c r="O362" s="141">
        <v>0</v>
      </c>
      <c r="P362" s="141">
        <v>0</v>
      </c>
      <c r="Q362" s="141">
        <v>0</v>
      </c>
      <c r="R362" s="142">
        <v>0</v>
      </c>
      <c r="S362" s="143">
        <v>0</v>
      </c>
      <c r="T362" s="206">
        <v>0</v>
      </c>
      <c r="U362" s="206">
        <v>0</v>
      </c>
      <c r="V362" s="206">
        <v>0</v>
      </c>
      <c r="W362" s="54"/>
    </row>
    <row r="363" spans="1:23" x14ac:dyDescent="0.2">
      <c r="A363" s="54"/>
      <c r="B363" s="201"/>
      <c r="C363" s="18" t="s">
        <v>47</v>
      </c>
      <c r="D363" s="135"/>
      <c r="E363" s="135"/>
      <c r="F363" s="135">
        <v>0.1</v>
      </c>
      <c r="G363" s="135">
        <v>0</v>
      </c>
      <c r="H363" s="135">
        <v>15</v>
      </c>
      <c r="I363" s="135">
        <v>57.7</v>
      </c>
      <c r="J363" s="135">
        <v>12.9</v>
      </c>
      <c r="K363" s="135">
        <v>2.9</v>
      </c>
      <c r="L363" s="135">
        <v>2.2000000000000002</v>
      </c>
      <c r="M363" s="135">
        <v>4.12</v>
      </c>
      <c r="N363" s="135">
        <v>0.4</v>
      </c>
      <c r="O363" s="135">
        <v>0</v>
      </c>
      <c r="P363" s="135">
        <v>0</v>
      </c>
      <c r="Q363" s="135">
        <v>0</v>
      </c>
      <c r="R363" s="212">
        <v>0</v>
      </c>
      <c r="S363" s="80">
        <v>0</v>
      </c>
      <c r="T363" s="206">
        <v>0.94</v>
      </c>
      <c r="U363" s="206">
        <v>0.94</v>
      </c>
      <c r="V363" s="206">
        <v>0.94</v>
      </c>
      <c r="W363" s="54"/>
    </row>
    <row r="364" spans="1:23" ht="25.5" x14ac:dyDescent="0.2">
      <c r="A364" s="54"/>
      <c r="B364" s="123" t="s">
        <v>24</v>
      </c>
      <c r="C364" s="5" t="s">
        <v>105</v>
      </c>
      <c r="D364" s="14">
        <v>30</v>
      </c>
      <c r="E364" s="14">
        <v>30</v>
      </c>
      <c r="F364" s="14">
        <v>1.54</v>
      </c>
      <c r="G364" s="14">
        <v>0.6</v>
      </c>
      <c r="H364" s="14">
        <v>9.9600000000000009</v>
      </c>
      <c r="I364" s="14">
        <v>52.4</v>
      </c>
      <c r="J364" s="14">
        <v>25.4</v>
      </c>
      <c r="K364" s="14">
        <v>5.2</v>
      </c>
      <c r="L364" s="14">
        <v>7</v>
      </c>
      <c r="M364" s="14">
        <v>16.600000000000001</v>
      </c>
      <c r="N364" s="14">
        <v>0.32</v>
      </c>
      <c r="O364" s="14">
        <v>0</v>
      </c>
      <c r="P364" s="14">
        <v>3.2000000000000001E-2</v>
      </c>
      <c r="Q364" s="14">
        <v>1.6E-2</v>
      </c>
      <c r="R364" s="204">
        <v>0.308</v>
      </c>
      <c r="S364" s="14">
        <v>0</v>
      </c>
      <c r="T364" s="22">
        <v>29.29</v>
      </c>
      <c r="U364" s="93">
        <v>0.58584000000000003</v>
      </c>
      <c r="V364" s="98">
        <v>0.59</v>
      </c>
      <c r="W364" s="54"/>
    </row>
    <row r="365" spans="1:23" x14ac:dyDescent="0.2">
      <c r="A365" s="54"/>
      <c r="B365" s="123" t="s">
        <v>24</v>
      </c>
      <c r="C365" s="5" t="s">
        <v>106</v>
      </c>
      <c r="D365" s="14">
        <v>20</v>
      </c>
      <c r="E365" s="14">
        <v>20</v>
      </c>
      <c r="F365" s="14">
        <v>1.32</v>
      </c>
      <c r="G365" s="14">
        <v>0.24</v>
      </c>
      <c r="H365" s="14">
        <v>6.84</v>
      </c>
      <c r="I365" s="14">
        <v>36.200000000000003</v>
      </c>
      <c r="J365" s="14">
        <v>18.8</v>
      </c>
      <c r="K365" s="14">
        <v>6.8</v>
      </c>
      <c r="L365" s="14">
        <v>8.1999999999999993</v>
      </c>
      <c r="M365" s="14">
        <v>24</v>
      </c>
      <c r="N365" s="14">
        <v>0.46</v>
      </c>
      <c r="O365" s="14">
        <v>0</v>
      </c>
      <c r="P365" s="14">
        <v>2.1999999999999999E-2</v>
      </c>
      <c r="Q365" s="14">
        <v>1.6E-2</v>
      </c>
      <c r="R365" s="204">
        <v>0.128</v>
      </c>
      <c r="S365" s="14">
        <v>0</v>
      </c>
      <c r="T365" s="22">
        <v>35.9</v>
      </c>
      <c r="U365" s="93">
        <v>0.71799999999999997</v>
      </c>
      <c r="V365" s="98">
        <v>0.72</v>
      </c>
      <c r="W365" s="54"/>
    </row>
    <row r="366" spans="1:23" x14ac:dyDescent="0.2">
      <c r="A366" s="54"/>
      <c r="B366" s="123"/>
      <c r="C366" s="39" t="s">
        <v>25</v>
      </c>
      <c r="D366" s="3"/>
      <c r="E366" s="3"/>
      <c r="F366" s="3">
        <v>40.517749999999999</v>
      </c>
      <c r="G366" s="3">
        <v>37.935499999999998</v>
      </c>
      <c r="H366" s="3">
        <v>100.79</v>
      </c>
      <c r="I366" s="3">
        <v>920.43499999999995</v>
      </c>
      <c r="J366" s="3">
        <v>765.875</v>
      </c>
      <c r="K366" s="3">
        <v>64.795000000000002</v>
      </c>
      <c r="L366" s="3">
        <v>69.984999999999999</v>
      </c>
      <c r="M366" s="3">
        <v>489.60750000000002</v>
      </c>
      <c r="N366" s="3">
        <v>8.5947499999999994</v>
      </c>
      <c r="O366" s="3">
        <v>7.5550000000000006E-2</v>
      </c>
      <c r="P366" s="3">
        <v>0.46867500000000001</v>
      </c>
      <c r="Q366" s="3">
        <v>0.25700000000000001</v>
      </c>
      <c r="R366" s="50">
        <v>11.078749999999999</v>
      </c>
      <c r="S366" s="3">
        <v>34.28</v>
      </c>
      <c r="T366" s="3"/>
      <c r="U366" s="93">
        <v>36.214955500000002</v>
      </c>
      <c r="V366" s="98">
        <v>36.21</v>
      </c>
      <c r="W366" s="54"/>
    </row>
    <row r="367" spans="1:23" x14ac:dyDescent="0.2">
      <c r="A367" s="54"/>
      <c r="B367" s="220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153"/>
      <c r="V367" s="219"/>
      <c r="W367" s="54"/>
    </row>
    <row r="368" spans="1:23" x14ac:dyDescent="0.2">
      <c r="A368" s="54"/>
      <c r="B368" s="123"/>
      <c r="C368" s="25" t="s">
        <v>65</v>
      </c>
      <c r="D368" s="21"/>
      <c r="E368" s="21"/>
      <c r="F368" s="68">
        <v>337.1</v>
      </c>
      <c r="G368" s="68">
        <v>342.7</v>
      </c>
      <c r="H368" s="68">
        <v>1032.9000000000001</v>
      </c>
      <c r="I368" s="68">
        <v>8776.7000000000007</v>
      </c>
      <c r="J368" s="68">
        <v>11820.3</v>
      </c>
      <c r="K368" s="68">
        <v>1087.8</v>
      </c>
      <c r="L368" s="68">
        <v>1241.3</v>
      </c>
      <c r="M368" s="68">
        <v>4500.7</v>
      </c>
      <c r="N368" s="68">
        <v>80.900000000000006</v>
      </c>
      <c r="O368" s="68">
        <v>15.5</v>
      </c>
      <c r="P368" s="68">
        <v>16.2</v>
      </c>
      <c r="Q368" s="68">
        <v>15</v>
      </c>
      <c r="R368" s="68">
        <v>92.3</v>
      </c>
      <c r="S368" s="68">
        <v>325.39999999999998</v>
      </c>
      <c r="T368" s="147"/>
      <c r="U368" s="68">
        <v>410</v>
      </c>
      <c r="V368" s="140">
        <v>410</v>
      </c>
      <c r="W368" s="54"/>
    </row>
    <row r="369" spans="1:22" x14ac:dyDescent="0.2">
      <c r="B369" s="123"/>
      <c r="C369" s="148" t="s">
        <v>66</v>
      </c>
      <c r="D369" s="138"/>
      <c r="E369" s="138"/>
      <c r="F369" s="138">
        <v>33.706000000000003</v>
      </c>
      <c r="G369" s="138">
        <v>34.265999999999998</v>
      </c>
      <c r="H369" s="138">
        <v>103.29</v>
      </c>
      <c r="I369" s="138">
        <v>877.67</v>
      </c>
      <c r="J369" s="138">
        <v>1182.029</v>
      </c>
      <c r="K369" s="138">
        <v>108.776</v>
      </c>
      <c r="L369" s="138">
        <v>124.13</v>
      </c>
      <c r="M369" s="138">
        <v>450.07</v>
      </c>
      <c r="N369" s="138">
        <v>8.0950000000000006</v>
      </c>
      <c r="O369" s="138">
        <v>1.55</v>
      </c>
      <c r="P369" s="138">
        <v>1.6240000000000001</v>
      </c>
      <c r="Q369" s="138">
        <v>1.5029999999999999</v>
      </c>
      <c r="R369" s="149">
        <v>9.2309999999999999</v>
      </c>
      <c r="S369" s="150">
        <v>32.54</v>
      </c>
      <c r="T369" s="151"/>
      <c r="U369" s="152">
        <v>41</v>
      </c>
      <c r="V369" s="152">
        <v>41</v>
      </c>
    </row>
    <row r="370" spans="1:22" x14ac:dyDescent="0.2">
      <c r="B370" s="123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3"/>
      <c r="V370" s="54"/>
    </row>
    <row r="371" spans="1:22" x14ac:dyDescent="0.2">
      <c r="R371" s="54"/>
      <c r="S371" s="54"/>
      <c r="T371" s="54"/>
      <c r="U371" s="97"/>
      <c r="V371" s="54"/>
    </row>
    <row r="372" spans="1:22" x14ac:dyDescent="0.2">
      <c r="R372" s="54"/>
      <c r="S372" s="54"/>
      <c r="T372" s="54"/>
      <c r="U372" s="97"/>
      <c r="V372" s="54"/>
    </row>
    <row r="373" spans="1:22" x14ac:dyDescent="0.2">
      <c r="R373" s="54"/>
      <c r="S373" s="54"/>
      <c r="T373" s="54"/>
      <c r="U373" s="97"/>
      <c r="V373" s="54"/>
    </row>
    <row r="374" spans="1:22" x14ac:dyDescent="0.2">
      <c r="R374" s="54"/>
      <c r="S374" s="54"/>
      <c r="T374" s="54"/>
      <c r="U374" s="97"/>
      <c r="V374" s="54"/>
    </row>
    <row r="375" spans="1:22" x14ac:dyDescent="0.2">
      <c r="R375" s="54"/>
      <c r="S375" s="54"/>
      <c r="T375" s="54"/>
      <c r="U375" s="97"/>
      <c r="V375" s="54"/>
    </row>
    <row r="376" spans="1:22" x14ac:dyDescent="0.2">
      <c r="R376" s="54"/>
      <c r="S376" s="54"/>
      <c r="T376" s="54"/>
      <c r="U376" s="97"/>
      <c r="V376" s="54"/>
    </row>
    <row r="377" spans="1:22" x14ac:dyDescent="0.2">
      <c r="A377" s="26"/>
      <c r="R377" s="54"/>
      <c r="S377" s="54"/>
      <c r="T377" s="54"/>
      <c r="U377" s="97"/>
      <c r="V377" s="54"/>
    </row>
    <row r="378" spans="1:22" x14ac:dyDescent="0.2">
      <c r="A378" s="26"/>
      <c r="R378" s="54"/>
      <c r="S378" s="54"/>
      <c r="T378" s="54"/>
      <c r="U378" s="97"/>
      <c r="V378" s="54"/>
    </row>
    <row r="379" spans="1:22" x14ac:dyDescent="0.2">
      <c r="A379" s="26"/>
      <c r="R379" s="54"/>
      <c r="S379" s="54"/>
      <c r="T379" s="54"/>
      <c r="U379" s="97"/>
      <c r="V379" s="54"/>
    </row>
    <row r="380" spans="1:22" x14ac:dyDescent="0.2">
      <c r="A380" s="26"/>
      <c r="R380" s="54"/>
      <c r="S380" s="54"/>
      <c r="T380" s="54"/>
      <c r="U380" s="97"/>
      <c r="V380" s="54"/>
    </row>
    <row r="381" spans="1:22" x14ac:dyDescent="0.2">
      <c r="A381" s="26"/>
      <c r="R381" s="54"/>
      <c r="S381" s="54"/>
      <c r="T381" s="54"/>
      <c r="U381" s="97"/>
      <c r="V381" s="54"/>
    </row>
    <row r="382" spans="1:22" x14ac:dyDescent="0.2">
      <c r="A382" s="26"/>
      <c r="R382" s="54"/>
      <c r="S382" s="54"/>
      <c r="T382" s="54"/>
      <c r="U382" s="97"/>
      <c r="V382" s="54"/>
    </row>
    <row r="383" spans="1:22" x14ac:dyDescent="0.2">
      <c r="A383" s="26"/>
      <c r="R383" s="54"/>
      <c r="S383" s="54"/>
      <c r="T383" s="54"/>
      <c r="U383" s="97"/>
      <c r="V383" s="54"/>
    </row>
    <row r="384" spans="1:22" x14ac:dyDescent="0.2">
      <c r="A384" s="26"/>
      <c r="R384" s="54"/>
      <c r="S384" s="54"/>
      <c r="T384" s="54"/>
      <c r="U384" s="97"/>
      <c r="V384" s="54"/>
    </row>
    <row r="385" spans="1:22" x14ac:dyDescent="0.2">
      <c r="A385" s="26"/>
      <c r="R385" s="54"/>
      <c r="S385" s="54"/>
      <c r="T385" s="54"/>
      <c r="U385" s="97"/>
      <c r="V385" s="54"/>
    </row>
    <row r="386" spans="1:22" x14ac:dyDescent="0.2">
      <c r="A386" s="26"/>
      <c r="R386" s="54"/>
      <c r="S386" s="54"/>
      <c r="T386" s="54"/>
      <c r="U386" s="97"/>
      <c r="V386" s="54"/>
    </row>
    <row r="387" spans="1:22" x14ac:dyDescent="0.2">
      <c r="A387" s="26"/>
      <c r="R387" s="54"/>
      <c r="S387" s="54"/>
      <c r="T387" s="54"/>
      <c r="U387" s="97"/>
      <c r="V387" s="77"/>
    </row>
    <row r="388" spans="1:22" x14ac:dyDescent="0.2">
      <c r="A388" s="26"/>
      <c r="R388" s="54"/>
      <c r="S388" s="54"/>
      <c r="T388" s="54"/>
      <c r="U388" s="97"/>
      <c r="V388" s="54"/>
    </row>
    <row r="389" spans="1:22" x14ac:dyDescent="0.2">
      <c r="R389" s="54"/>
      <c r="S389" s="54"/>
      <c r="T389" s="54"/>
      <c r="U389" s="97"/>
      <c r="V389" s="54"/>
    </row>
    <row r="390" spans="1:22" x14ac:dyDescent="0.2">
      <c r="R390" s="54"/>
      <c r="S390" s="54"/>
      <c r="T390" s="54"/>
      <c r="U390" s="97"/>
      <c r="V390" s="54"/>
    </row>
    <row r="391" spans="1:22" x14ac:dyDescent="0.2">
      <c r="B391" s="127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97"/>
      <c r="V391" s="54"/>
    </row>
    <row r="392" spans="1:22" x14ac:dyDescent="0.2">
      <c r="B392" s="127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97"/>
      <c r="V392" s="54"/>
    </row>
    <row r="393" spans="1:22" x14ac:dyDescent="0.2">
      <c r="B393" s="127"/>
      <c r="C393" s="99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77"/>
      <c r="U393" s="101"/>
      <c r="V393" s="54"/>
    </row>
    <row r="394" spans="1:22" x14ac:dyDescent="0.2">
      <c r="B394" s="127"/>
      <c r="C394" s="99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77"/>
      <c r="U394" s="101"/>
      <c r="V394" s="54"/>
    </row>
    <row r="395" spans="1:22" x14ac:dyDescent="0.2">
      <c r="B395" s="127"/>
      <c r="C395" s="99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77"/>
      <c r="U395" s="101"/>
      <c r="V395" s="54"/>
    </row>
    <row r="396" spans="1:22" x14ac:dyDescent="0.2">
      <c r="B396" s="127"/>
      <c r="C396" s="102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101"/>
      <c r="V396" s="54"/>
    </row>
    <row r="397" spans="1:22" x14ac:dyDescent="0.2">
      <c r="B397" s="127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97"/>
      <c r="V397" s="54"/>
    </row>
    <row r="398" spans="1:22" x14ac:dyDescent="0.2">
      <c r="B398" s="127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97"/>
      <c r="V398" s="54"/>
    </row>
    <row r="399" spans="1:22" x14ac:dyDescent="0.2">
      <c r="B399" s="127"/>
      <c r="C399" s="103"/>
      <c r="D399" s="54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100"/>
      <c r="U399" s="97"/>
      <c r="V399" s="54"/>
    </row>
    <row r="400" spans="1:22" x14ac:dyDescent="0.2">
      <c r="B400" s="127"/>
      <c r="C400" s="105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100"/>
      <c r="U400" s="97"/>
      <c r="V400" s="77"/>
    </row>
    <row r="401" spans="2:22" x14ac:dyDescent="0.2">
      <c r="B401" s="127"/>
      <c r="C401" s="105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100"/>
      <c r="U401" s="97"/>
      <c r="V401" s="54"/>
    </row>
    <row r="402" spans="2:22" x14ac:dyDescent="0.2">
      <c r="B402" s="127"/>
      <c r="C402" s="105"/>
      <c r="D402" s="54"/>
      <c r="E402" s="54"/>
      <c r="F402" s="54"/>
      <c r="G402" s="54"/>
      <c r="H402" s="54"/>
      <c r="I402" s="54"/>
      <c r="J402" s="106"/>
      <c r="K402" s="100"/>
      <c r="L402" s="100"/>
      <c r="M402" s="107"/>
      <c r="N402" s="100"/>
      <c r="O402" s="100"/>
      <c r="P402" s="100"/>
      <c r="Q402" s="100"/>
      <c r="R402" s="100"/>
      <c r="S402" s="100"/>
      <c r="T402" s="100"/>
      <c r="U402" s="97"/>
      <c r="V402" s="54"/>
    </row>
    <row r="403" spans="2:22" x14ac:dyDescent="0.2">
      <c r="B403" s="127"/>
      <c r="C403" s="105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100"/>
      <c r="U403" s="97"/>
      <c r="V403" s="54"/>
    </row>
    <row r="404" spans="2:22" x14ac:dyDescent="0.2">
      <c r="B404" s="127"/>
      <c r="C404" s="105"/>
      <c r="D404" s="54"/>
      <c r="E404" s="54"/>
      <c r="F404" s="54"/>
      <c r="G404" s="54"/>
      <c r="H404" s="54"/>
      <c r="I404" s="54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97"/>
      <c r="V404" s="54"/>
    </row>
    <row r="405" spans="2:22" x14ac:dyDescent="0.2">
      <c r="B405" s="127"/>
      <c r="C405" s="105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100"/>
      <c r="U405" s="97"/>
      <c r="V405" s="54"/>
    </row>
    <row r="406" spans="2:22" x14ac:dyDescent="0.2">
      <c r="B406" s="127"/>
      <c r="C406" s="105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100"/>
      <c r="U406" s="97"/>
      <c r="V406" s="54"/>
    </row>
    <row r="407" spans="2:22" x14ac:dyDescent="0.2">
      <c r="B407" s="127"/>
      <c r="C407" s="105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100"/>
      <c r="U407" s="97"/>
      <c r="V407" s="54"/>
    </row>
    <row r="408" spans="2:22" x14ac:dyDescent="0.2">
      <c r="B408" s="127"/>
      <c r="C408" s="105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100"/>
      <c r="U408" s="97"/>
      <c r="V408" s="77"/>
    </row>
    <row r="409" spans="2:22" x14ac:dyDescent="0.2">
      <c r="B409" s="127"/>
      <c r="C409" s="102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101"/>
      <c r="V409" s="77"/>
    </row>
    <row r="410" spans="2:22" x14ac:dyDescent="0.2">
      <c r="B410" s="127"/>
      <c r="C410" s="102"/>
      <c r="D410" s="100"/>
      <c r="E410" s="77"/>
      <c r="F410" s="77"/>
      <c r="G410" s="77"/>
      <c r="H410" s="108"/>
      <c r="I410" s="77"/>
      <c r="J410" s="109"/>
      <c r="K410" s="108"/>
      <c r="L410" s="77"/>
      <c r="M410" s="77"/>
      <c r="N410" s="77"/>
      <c r="O410" s="77"/>
      <c r="P410" s="77"/>
      <c r="Q410" s="77"/>
      <c r="R410" s="77"/>
      <c r="S410" s="77"/>
      <c r="T410" s="100"/>
      <c r="U410" s="97"/>
      <c r="V410" s="54"/>
    </row>
    <row r="411" spans="2:22" x14ac:dyDescent="0.2">
      <c r="B411" s="127"/>
      <c r="C411" s="99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97"/>
      <c r="V411" s="54"/>
    </row>
    <row r="412" spans="2:22" x14ac:dyDescent="0.2">
      <c r="B412" s="127"/>
      <c r="C412" s="99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77"/>
      <c r="U412" s="101"/>
      <c r="V412" s="54"/>
    </row>
    <row r="413" spans="2:22" x14ac:dyDescent="0.2">
      <c r="B413" s="127"/>
      <c r="C413" s="99"/>
      <c r="D413" s="100"/>
      <c r="E413" s="100"/>
      <c r="F413" s="110"/>
      <c r="G413" s="110"/>
      <c r="H413" s="110"/>
      <c r="I413" s="110"/>
      <c r="J413" s="111"/>
      <c r="K413" s="110"/>
      <c r="L413" s="110"/>
      <c r="M413" s="110"/>
      <c r="N413" s="110"/>
      <c r="O413" s="110"/>
      <c r="P413" s="110"/>
      <c r="Q413" s="110"/>
      <c r="R413" s="110"/>
      <c r="S413" s="110"/>
      <c r="T413" s="77"/>
      <c r="U413" s="101"/>
      <c r="V413" s="77"/>
    </row>
    <row r="414" spans="2:22" x14ac:dyDescent="0.2">
      <c r="B414" s="127"/>
      <c r="C414" s="99"/>
      <c r="D414" s="100"/>
      <c r="E414" s="100"/>
      <c r="F414" s="100"/>
      <c r="G414" s="100"/>
      <c r="H414" s="100"/>
      <c r="I414" s="100"/>
      <c r="J414" s="106"/>
      <c r="K414" s="100"/>
      <c r="L414" s="100"/>
      <c r="M414" s="112"/>
      <c r="N414" s="100"/>
      <c r="O414" s="100"/>
      <c r="P414" s="100"/>
      <c r="Q414" s="100"/>
      <c r="R414" s="100"/>
      <c r="S414" s="100"/>
      <c r="T414" s="100"/>
      <c r="U414" s="101"/>
      <c r="V414" s="77"/>
    </row>
    <row r="415" spans="2:22" x14ac:dyDescent="0.2">
      <c r="B415" s="127"/>
      <c r="C415" s="99"/>
      <c r="D415" s="100"/>
      <c r="E415" s="10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00"/>
      <c r="U415" s="101"/>
      <c r="V415" s="54"/>
    </row>
    <row r="416" spans="2:22" x14ac:dyDescent="0.2">
      <c r="B416" s="127"/>
      <c r="C416" s="99"/>
      <c r="D416" s="100"/>
      <c r="E416" s="100"/>
      <c r="F416" s="100"/>
      <c r="G416" s="100"/>
      <c r="H416" s="107"/>
      <c r="I416" s="100"/>
      <c r="J416" s="106"/>
      <c r="K416" s="107"/>
      <c r="L416" s="100"/>
      <c r="M416" s="100"/>
      <c r="N416" s="100"/>
      <c r="O416" s="100"/>
      <c r="P416" s="100"/>
      <c r="Q416" s="100"/>
      <c r="R416" s="100"/>
      <c r="S416" s="100"/>
      <c r="T416" s="100"/>
      <c r="U416" s="101"/>
      <c r="V416" s="54"/>
    </row>
    <row r="417" spans="2:22" x14ac:dyDescent="0.2">
      <c r="B417" s="127"/>
      <c r="C417" s="102"/>
      <c r="D417" s="199"/>
      <c r="E417" s="199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101"/>
      <c r="V417" s="54"/>
    </row>
    <row r="418" spans="2:22" x14ac:dyDescent="0.2">
      <c r="B418" s="127"/>
      <c r="C418" s="102"/>
      <c r="D418" s="100"/>
      <c r="E418" s="77"/>
      <c r="F418" s="77"/>
      <c r="G418" s="77"/>
      <c r="H418" s="77"/>
      <c r="I418" s="77"/>
      <c r="J418" s="108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101"/>
      <c r="V418" s="54"/>
    </row>
    <row r="419" spans="2:22" x14ac:dyDescent="0.2">
      <c r="B419" s="127"/>
      <c r="C419" s="99"/>
      <c r="D419" s="100"/>
      <c r="E419" s="100"/>
      <c r="F419" s="100"/>
      <c r="G419" s="100"/>
      <c r="H419" s="100"/>
      <c r="I419" s="100"/>
      <c r="J419" s="107"/>
      <c r="K419" s="100"/>
      <c r="L419" s="100"/>
      <c r="M419" s="100"/>
      <c r="N419" s="100"/>
      <c r="O419" s="100"/>
      <c r="P419" s="100"/>
      <c r="Q419" s="100"/>
      <c r="R419" s="100"/>
      <c r="S419" s="100"/>
      <c r="T419" s="77"/>
      <c r="U419" s="101"/>
      <c r="V419" s="54"/>
    </row>
    <row r="420" spans="2:22" x14ac:dyDescent="0.2">
      <c r="B420" s="127"/>
      <c r="C420" s="99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77"/>
      <c r="U420" s="101"/>
      <c r="V420" s="54"/>
    </row>
    <row r="421" spans="2:22" x14ac:dyDescent="0.2">
      <c r="B421" s="127"/>
      <c r="C421" s="99"/>
      <c r="D421" s="100"/>
      <c r="E421" s="100"/>
      <c r="F421" s="100"/>
      <c r="G421" s="100"/>
      <c r="H421" s="100"/>
      <c r="I421" s="100"/>
      <c r="J421" s="114"/>
      <c r="K421" s="100"/>
      <c r="L421" s="100"/>
      <c r="M421" s="100"/>
      <c r="N421" s="100"/>
      <c r="O421" s="100"/>
      <c r="P421" s="100"/>
      <c r="Q421" s="100"/>
      <c r="R421" s="100"/>
      <c r="S421" s="100"/>
      <c r="T421" s="77"/>
      <c r="U421" s="101"/>
      <c r="V421" s="77"/>
    </row>
    <row r="422" spans="2:22" x14ac:dyDescent="0.2">
      <c r="B422" s="127"/>
      <c r="C422" s="102"/>
      <c r="D422" s="199"/>
      <c r="E422" s="199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101"/>
      <c r="V422" s="54"/>
    </row>
    <row r="423" spans="2:22" x14ac:dyDescent="0.2">
      <c r="B423" s="127"/>
      <c r="C423" s="102"/>
      <c r="D423" s="77"/>
      <c r="E423" s="77"/>
      <c r="F423" s="77"/>
      <c r="G423" s="77"/>
      <c r="H423" s="77"/>
      <c r="I423" s="77"/>
      <c r="J423" s="77"/>
      <c r="K423" s="77"/>
      <c r="L423" s="77"/>
      <c r="M423" s="108"/>
      <c r="N423" s="77"/>
      <c r="O423" s="77"/>
      <c r="P423" s="77"/>
      <c r="Q423" s="77"/>
      <c r="R423" s="77"/>
      <c r="S423" s="77"/>
      <c r="T423" s="77"/>
      <c r="U423" s="101"/>
      <c r="V423" s="54"/>
    </row>
    <row r="424" spans="2:22" ht="15.75" x14ac:dyDescent="0.2">
      <c r="B424" s="127"/>
      <c r="C424" s="115"/>
      <c r="D424" s="115"/>
      <c r="E424" s="116"/>
      <c r="F424" s="117"/>
      <c r="G424" s="117"/>
      <c r="H424" s="117"/>
      <c r="I424" s="117"/>
      <c r="J424" s="118"/>
      <c r="K424" s="117"/>
      <c r="L424" s="117"/>
      <c r="M424" s="117"/>
      <c r="N424" s="117"/>
      <c r="O424" s="117"/>
      <c r="P424" s="117"/>
      <c r="Q424" s="117"/>
      <c r="R424" s="117"/>
      <c r="S424" s="117"/>
      <c r="T424" s="77"/>
      <c r="U424" s="101"/>
      <c r="V424" s="54"/>
    </row>
    <row r="425" spans="2:22" ht="15.75" x14ac:dyDescent="0.2">
      <c r="B425" s="127"/>
      <c r="C425" s="119"/>
      <c r="D425" s="116"/>
      <c r="E425" s="116"/>
      <c r="F425" s="100"/>
      <c r="G425" s="100"/>
      <c r="H425" s="100"/>
      <c r="I425" s="100"/>
      <c r="J425" s="107"/>
      <c r="K425" s="100"/>
      <c r="L425" s="100"/>
      <c r="M425" s="107"/>
      <c r="N425" s="100"/>
      <c r="O425" s="100"/>
      <c r="P425" s="100"/>
      <c r="Q425" s="100"/>
      <c r="R425" s="100"/>
      <c r="S425" s="100"/>
      <c r="T425" s="77"/>
      <c r="U425" s="101"/>
      <c r="V425" s="54"/>
    </row>
    <row r="426" spans="2:22" ht="15.75" x14ac:dyDescent="0.2">
      <c r="B426" s="127"/>
      <c r="C426" s="119"/>
      <c r="D426" s="116"/>
      <c r="E426" s="116"/>
      <c r="F426" s="117"/>
      <c r="G426" s="117"/>
      <c r="H426" s="117"/>
      <c r="I426" s="117"/>
      <c r="J426" s="118"/>
      <c r="K426" s="117"/>
      <c r="L426" s="117"/>
      <c r="M426" s="117"/>
      <c r="N426" s="117"/>
      <c r="O426" s="117"/>
      <c r="P426" s="117"/>
      <c r="Q426" s="117"/>
      <c r="R426" s="117"/>
      <c r="S426" s="117"/>
      <c r="T426" s="77"/>
      <c r="U426" s="101"/>
      <c r="V426" s="77"/>
    </row>
    <row r="427" spans="2:22" ht="15.75" x14ac:dyDescent="0.2">
      <c r="B427" s="127"/>
      <c r="C427" s="119"/>
      <c r="D427" s="116"/>
      <c r="E427" s="116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77"/>
      <c r="U427" s="101"/>
      <c r="V427" s="54"/>
    </row>
    <row r="428" spans="2:22" ht="15.75" x14ac:dyDescent="0.2">
      <c r="B428" s="127"/>
      <c r="C428" s="119"/>
      <c r="D428" s="116"/>
      <c r="E428" s="116"/>
      <c r="F428" s="100"/>
      <c r="G428" s="100"/>
      <c r="H428" s="100"/>
      <c r="I428" s="100"/>
      <c r="J428" s="107"/>
      <c r="K428" s="100"/>
      <c r="L428" s="100"/>
      <c r="M428" s="107"/>
      <c r="N428" s="100"/>
      <c r="O428" s="100"/>
      <c r="P428" s="100"/>
      <c r="Q428" s="100"/>
      <c r="R428" s="100"/>
      <c r="S428" s="100"/>
      <c r="T428" s="77"/>
      <c r="U428" s="101"/>
    </row>
    <row r="429" spans="2:22" ht="15.75" x14ac:dyDescent="0.2">
      <c r="B429" s="127"/>
      <c r="C429" s="119"/>
      <c r="D429" s="116"/>
      <c r="E429" s="116"/>
      <c r="F429" s="100"/>
      <c r="G429" s="100"/>
      <c r="H429" s="100"/>
      <c r="I429" s="100"/>
      <c r="J429" s="106"/>
      <c r="K429" s="100"/>
      <c r="L429" s="100"/>
      <c r="M429" s="112"/>
      <c r="N429" s="100"/>
      <c r="O429" s="100"/>
      <c r="P429" s="100"/>
      <c r="Q429" s="100"/>
      <c r="R429" s="100"/>
      <c r="S429" s="100"/>
      <c r="T429" s="77"/>
      <c r="U429" s="101"/>
    </row>
    <row r="430" spans="2:22" ht="15.75" x14ac:dyDescent="0.2">
      <c r="B430" s="127"/>
      <c r="C430" s="120"/>
      <c r="D430" s="121"/>
      <c r="E430" s="121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101"/>
    </row>
    <row r="431" spans="2:22" x14ac:dyDescent="0.2">
      <c r="B431" s="127"/>
      <c r="C431" s="102"/>
      <c r="D431" s="315"/>
      <c r="E431" s="315"/>
      <c r="F431" s="77"/>
      <c r="G431" s="77"/>
      <c r="H431" s="77"/>
      <c r="I431" s="77"/>
      <c r="J431" s="108"/>
      <c r="K431" s="77"/>
      <c r="L431" s="77"/>
      <c r="M431" s="108"/>
      <c r="N431" s="77"/>
      <c r="O431" s="77"/>
      <c r="P431" s="77"/>
      <c r="Q431" s="77"/>
      <c r="R431" s="77"/>
      <c r="S431" s="77"/>
      <c r="T431" s="54"/>
      <c r="U431" s="97"/>
    </row>
    <row r="432" spans="2:22" x14ac:dyDescent="0.2">
      <c r="B432" s="127"/>
      <c r="C432" s="99"/>
      <c r="D432" s="122"/>
      <c r="E432" s="122"/>
      <c r="F432" s="100"/>
      <c r="G432" s="100"/>
      <c r="H432" s="100"/>
      <c r="I432" s="100"/>
      <c r="J432" s="107"/>
      <c r="K432" s="100"/>
      <c r="L432" s="100"/>
      <c r="M432" s="107"/>
      <c r="N432" s="100"/>
      <c r="O432" s="100"/>
      <c r="P432" s="100"/>
      <c r="Q432" s="100"/>
      <c r="R432" s="100"/>
      <c r="S432" s="100"/>
      <c r="T432" s="100"/>
      <c r="U432" s="97"/>
    </row>
    <row r="433" spans="2:21" x14ac:dyDescent="0.2">
      <c r="B433" s="127"/>
      <c r="C433" s="99"/>
      <c r="D433" s="122"/>
      <c r="E433" s="122"/>
      <c r="F433" s="100"/>
      <c r="G433" s="100"/>
      <c r="H433" s="100"/>
      <c r="I433" s="100"/>
      <c r="J433" s="107"/>
      <c r="K433" s="100"/>
      <c r="L433" s="100"/>
      <c r="M433" s="107"/>
      <c r="N433" s="100"/>
      <c r="O433" s="100"/>
      <c r="P433" s="100"/>
      <c r="Q433" s="100"/>
      <c r="R433" s="100"/>
      <c r="S433" s="100"/>
      <c r="T433" s="100"/>
      <c r="U433" s="97"/>
    </row>
    <row r="434" spans="2:21" x14ac:dyDescent="0.2">
      <c r="B434" s="127"/>
      <c r="C434" s="99"/>
      <c r="D434" s="122"/>
      <c r="E434" s="122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1"/>
    </row>
    <row r="435" spans="2:21" x14ac:dyDescent="0.2">
      <c r="B435" s="127"/>
      <c r="C435" s="102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101"/>
    </row>
    <row r="436" spans="2:21" x14ac:dyDescent="0.2">
      <c r="B436" s="127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97"/>
    </row>
    <row r="437" spans="2:21" x14ac:dyDescent="0.2">
      <c r="S437"/>
      <c r="T437"/>
      <c r="U437"/>
    </row>
    <row r="438" spans="2:21" x14ac:dyDescent="0.2">
      <c r="S438"/>
      <c r="T438"/>
      <c r="U438"/>
    </row>
    <row r="439" spans="2:21" x14ac:dyDescent="0.2">
      <c r="S439"/>
      <c r="T439"/>
      <c r="U439"/>
    </row>
    <row r="440" spans="2:21" x14ac:dyDescent="0.2">
      <c r="S440"/>
      <c r="T440"/>
      <c r="U440"/>
    </row>
    <row r="441" spans="2:21" x14ac:dyDescent="0.2">
      <c r="S441"/>
      <c r="T441"/>
      <c r="U441"/>
    </row>
    <row r="442" spans="2:21" x14ac:dyDescent="0.2">
      <c r="S442"/>
      <c r="T442"/>
      <c r="U442"/>
    </row>
    <row r="443" spans="2:21" x14ac:dyDescent="0.2">
      <c r="S443"/>
      <c r="T443"/>
      <c r="U443"/>
    </row>
    <row r="444" spans="2:21" x14ac:dyDescent="0.2">
      <c r="S444"/>
      <c r="T444"/>
      <c r="U444"/>
    </row>
    <row r="445" spans="2:21" x14ac:dyDescent="0.2">
      <c r="S445"/>
      <c r="T445"/>
      <c r="U445"/>
    </row>
    <row r="446" spans="2:21" x14ac:dyDescent="0.2">
      <c r="S446"/>
      <c r="T446"/>
      <c r="U446"/>
    </row>
    <row r="447" spans="2:21" x14ac:dyDescent="0.2">
      <c r="B447"/>
      <c r="S447"/>
      <c r="T447"/>
      <c r="U447"/>
    </row>
    <row r="448" spans="2:21" x14ac:dyDescent="0.2">
      <c r="B448"/>
      <c r="S448"/>
      <c r="T448"/>
      <c r="U448"/>
    </row>
    <row r="449" spans="2:21" x14ac:dyDescent="0.2">
      <c r="B449"/>
      <c r="S449"/>
      <c r="T449"/>
      <c r="U449"/>
    </row>
    <row r="450" spans="2:21" x14ac:dyDescent="0.2">
      <c r="B450"/>
      <c r="S450"/>
      <c r="T450"/>
      <c r="U450"/>
    </row>
    <row r="451" spans="2:21" x14ac:dyDescent="0.2">
      <c r="B451"/>
      <c r="S451"/>
      <c r="T451"/>
      <c r="U451"/>
    </row>
    <row r="452" spans="2:21" x14ac:dyDescent="0.2">
      <c r="B452"/>
      <c r="S452"/>
      <c r="T452"/>
      <c r="U452"/>
    </row>
    <row r="453" spans="2:21" x14ac:dyDescent="0.2">
      <c r="B453"/>
      <c r="S453"/>
      <c r="T453"/>
      <c r="U453"/>
    </row>
    <row r="454" spans="2:21" x14ac:dyDescent="0.2">
      <c r="B454"/>
      <c r="S454"/>
      <c r="T454"/>
      <c r="U454"/>
    </row>
    <row r="455" spans="2:21" x14ac:dyDescent="0.2">
      <c r="B455"/>
      <c r="S455"/>
      <c r="T455"/>
      <c r="U455"/>
    </row>
    <row r="456" spans="2:21" x14ac:dyDescent="0.2">
      <c r="B456"/>
      <c r="S456"/>
      <c r="T456"/>
      <c r="U456"/>
    </row>
    <row r="457" spans="2:21" x14ac:dyDescent="0.2">
      <c r="B457"/>
      <c r="S457"/>
      <c r="T457"/>
      <c r="U457"/>
    </row>
    <row r="458" spans="2:21" x14ac:dyDescent="0.2">
      <c r="B458"/>
      <c r="S458"/>
      <c r="T458"/>
      <c r="U458"/>
    </row>
    <row r="459" spans="2:21" x14ac:dyDescent="0.2">
      <c r="B459"/>
      <c r="S459"/>
      <c r="T459"/>
      <c r="U459"/>
    </row>
    <row r="460" spans="2:21" x14ac:dyDescent="0.2">
      <c r="B460"/>
      <c r="S460"/>
      <c r="T460"/>
      <c r="U460"/>
    </row>
    <row r="461" spans="2:21" x14ac:dyDescent="0.2">
      <c r="B461"/>
      <c r="S461"/>
      <c r="T461"/>
      <c r="U461"/>
    </row>
    <row r="462" spans="2:21" x14ac:dyDescent="0.2">
      <c r="B462"/>
      <c r="S462"/>
      <c r="T462"/>
      <c r="U462"/>
    </row>
    <row r="463" spans="2:21" x14ac:dyDescent="0.2">
      <c r="B463"/>
      <c r="S463"/>
      <c r="T463"/>
      <c r="U463"/>
    </row>
    <row r="464" spans="2:21" x14ac:dyDescent="0.2">
      <c r="B464"/>
      <c r="S464"/>
      <c r="T464"/>
      <c r="U464"/>
    </row>
    <row r="465" spans="2:21" x14ac:dyDescent="0.2">
      <c r="B465"/>
      <c r="S465"/>
      <c r="T465"/>
      <c r="U465"/>
    </row>
    <row r="466" spans="2:21" x14ac:dyDescent="0.2">
      <c r="B466"/>
      <c r="S466"/>
      <c r="T466"/>
      <c r="U466"/>
    </row>
    <row r="467" spans="2:21" x14ac:dyDescent="0.2">
      <c r="B467"/>
      <c r="S467"/>
      <c r="T467"/>
      <c r="U467"/>
    </row>
    <row r="468" spans="2:21" x14ac:dyDescent="0.2">
      <c r="B468"/>
      <c r="S468"/>
      <c r="T468"/>
      <c r="U468"/>
    </row>
    <row r="469" spans="2:21" x14ac:dyDescent="0.2">
      <c r="B469"/>
      <c r="S469"/>
      <c r="T469"/>
      <c r="U469"/>
    </row>
    <row r="470" spans="2:21" x14ac:dyDescent="0.2">
      <c r="B470"/>
      <c r="S470"/>
      <c r="T470"/>
      <c r="U470"/>
    </row>
    <row r="471" spans="2:21" x14ac:dyDescent="0.2">
      <c r="B471"/>
      <c r="S471"/>
      <c r="T471"/>
      <c r="U471"/>
    </row>
    <row r="472" spans="2:21" x14ac:dyDescent="0.2">
      <c r="B472"/>
      <c r="S472"/>
      <c r="T472"/>
      <c r="U472"/>
    </row>
    <row r="473" spans="2:21" x14ac:dyDescent="0.2">
      <c r="B473"/>
      <c r="S473"/>
      <c r="T473"/>
      <c r="U473"/>
    </row>
    <row r="474" spans="2:21" x14ac:dyDescent="0.2">
      <c r="B474"/>
      <c r="S474"/>
      <c r="T474"/>
      <c r="U474"/>
    </row>
    <row r="475" spans="2:21" x14ac:dyDescent="0.2">
      <c r="B475"/>
      <c r="S475"/>
      <c r="T475"/>
      <c r="U475"/>
    </row>
    <row r="476" spans="2:21" x14ac:dyDescent="0.2">
      <c r="B476"/>
      <c r="S476"/>
      <c r="T476"/>
      <c r="U476"/>
    </row>
    <row r="477" spans="2:21" x14ac:dyDescent="0.2">
      <c r="B477"/>
      <c r="S477"/>
      <c r="T477"/>
      <c r="U477"/>
    </row>
    <row r="478" spans="2:21" x14ac:dyDescent="0.2">
      <c r="B478"/>
      <c r="S478"/>
      <c r="T478"/>
      <c r="U478"/>
    </row>
    <row r="479" spans="2:21" x14ac:dyDescent="0.2">
      <c r="B479"/>
      <c r="S479"/>
      <c r="T479"/>
      <c r="U479"/>
    </row>
    <row r="480" spans="2:21" x14ac:dyDescent="0.2">
      <c r="B480"/>
      <c r="S480"/>
      <c r="T480"/>
      <c r="U480"/>
    </row>
    <row r="481" spans="2:21" x14ac:dyDescent="0.2">
      <c r="B481"/>
      <c r="S481"/>
      <c r="T481"/>
      <c r="U481"/>
    </row>
    <row r="482" spans="2:21" x14ac:dyDescent="0.2">
      <c r="B482"/>
      <c r="S482"/>
      <c r="T482"/>
      <c r="U482"/>
    </row>
    <row r="483" spans="2:21" x14ac:dyDescent="0.2">
      <c r="B483"/>
      <c r="S483"/>
      <c r="T483"/>
      <c r="U483"/>
    </row>
    <row r="484" spans="2:21" x14ac:dyDescent="0.2">
      <c r="B484"/>
      <c r="S484"/>
      <c r="T484"/>
      <c r="U484"/>
    </row>
    <row r="485" spans="2:21" x14ac:dyDescent="0.2">
      <c r="B485"/>
      <c r="S485"/>
      <c r="T485"/>
      <c r="U485"/>
    </row>
    <row r="486" spans="2:21" x14ac:dyDescent="0.2">
      <c r="B486"/>
      <c r="S486"/>
      <c r="T486"/>
      <c r="U486"/>
    </row>
    <row r="487" spans="2:21" x14ac:dyDescent="0.2">
      <c r="B487"/>
      <c r="S487"/>
      <c r="T487"/>
      <c r="U487"/>
    </row>
    <row r="488" spans="2:21" x14ac:dyDescent="0.2">
      <c r="B488"/>
      <c r="S488"/>
      <c r="T488"/>
      <c r="U488"/>
    </row>
    <row r="489" spans="2:21" x14ac:dyDescent="0.2">
      <c r="B489"/>
      <c r="S489"/>
      <c r="T489"/>
      <c r="U489"/>
    </row>
    <row r="490" spans="2:21" x14ac:dyDescent="0.2">
      <c r="B490"/>
      <c r="S490"/>
      <c r="T490"/>
      <c r="U490"/>
    </row>
    <row r="491" spans="2:21" x14ac:dyDescent="0.2">
      <c r="B491"/>
      <c r="S491"/>
      <c r="T491"/>
      <c r="U491"/>
    </row>
    <row r="492" spans="2:21" x14ac:dyDescent="0.2">
      <c r="B492"/>
      <c r="S492"/>
      <c r="T492"/>
      <c r="U492"/>
    </row>
    <row r="493" spans="2:21" x14ac:dyDescent="0.2">
      <c r="B493"/>
      <c r="S493"/>
      <c r="T493"/>
      <c r="U493"/>
    </row>
    <row r="494" spans="2:21" x14ac:dyDescent="0.2">
      <c r="B494"/>
      <c r="S494"/>
      <c r="T494"/>
      <c r="U494"/>
    </row>
    <row r="495" spans="2:21" x14ac:dyDescent="0.2">
      <c r="B495"/>
      <c r="S495"/>
      <c r="T495"/>
      <c r="U495"/>
    </row>
    <row r="496" spans="2:21" x14ac:dyDescent="0.2">
      <c r="B496"/>
      <c r="S496"/>
      <c r="T496"/>
      <c r="U496"/>
    </row>
    <row r="497" spans="2:21" x14ac:dyDescent="0.2">
      <c r="B497"/>
      <c r="S497"/>
      <c r="T497"/>
      <c r="U497"/>
    </row>
    <row r="498" spans="2:21" x14ac:dyDescent="0.2">
      <c r="B498"/>
      <c r="S498"/>
      <c r="T498"/>
      <c r="U498"/>
    </row>
    <row r="499" spans="2:21" x14ac:dyDescent="0.2">
      <c r="B499"/>
      <c r="S499"/>
      <c r="T499"/>
      <c r="U499"/>
    </row>
    <row r="500" spans="2:21" x14ac:dyDescent="0.2">
      <c r="B500"/>
      <c r="S500"/>
      <c r="T500"/>
      <c r="U500"/>
    </row>
    <row r="501" spans="2:21" x14ac:dyDescent="0.2">
      <c r="B501"/>
      <c r="S501"/>
      <c r="T501"/>
      <c r="U501"/>
    </row>
    <row r="502" spans="2:21" x14ac:dyDescent="0.2">
      <c r="B502"/>
      <c r="S502"/>
      <c r="T502"/>
      <c r="U502"/>
    </row>
    <row r="503" spans="2:21" x14ac:dyDescent="0.2">
      <c r="B503"/>
      <c r="S503"/>
      <c r="T503"/>
      <c r="U503"/>
    </row>
    <row r="504" spans="2:21" x14ac:dyDescent="0.2">
      <c r="B504"/>
      <c r="S504"/>
      <c r="T504"/>
      <c r="U504"/>
    </row>
    <row r="505" spans="2:21" x14ac:dyDescent="0.2">
      <c r="B505"/>
      <c r="S505"/>
      <c r="T505"/>
      <c r="U505"/>
    </row>
    <row r="506" spans="2:21" x14ac:dyDescent="0.2">
      <c r="B506"/>
      <c r="S506"/>
      <c r="T506"/>
      <c r="U506"/>
    </row>
    <row r="507" spans="2:21" x14ac:dyDescent="0.2">
      <c r="B507"/>
      <c r="S507"/>
      <c r="T507"/>
      <c r="U507"/>
    </row>
    <row r="508" spans="2:21" x14ac:dyDescent="0.2">
      <c r="B508"/>
      <c r="S508"/>
      <c r="T508"/>
      <c r="U508"/>
    </row>
    <row r="509" spans="2:21" x14ac:dyDescent="0.2">
      <c r="B509"/>
      <c r="S509"/>
      <c r="T509"/>
      <c r="U509"/>
    </row>
    <row r="510" spans="2:21" x14ac:dyDescent="0.2">
      <c r="B510"/>
      <c r="S510"/>
      <c r="T510"/>
      <c r="U510"/>
    </row>
    <row r="511" spans="2:21" x14ac:dyDescent="0.2">
      <c r="B511"/>
      <c r="S511"/>
      <c r="T511"/>
      <c r="U511"/>
    </row>
    <row r="512" spans="2:21" x14ac:dyDescent="0.2">
      <c r="B512"/>
      <c r="S512"/>
      <c r="T512"/>
      <c r="U512"/>
    </row>
    <row r="513" spans="2:21" x14ac:dyDescent="0.2">
      <c r="B513"/>
      <c r="S513"/>
      <c r="T513"/>
      <c r="U513"/>
    </row>
    <row r="514" spans="2:21" x14ac:dyDescent="0.2">
      <c r="B514"/>
      <c r="S514"/>
      <c r="T514"/>
      <c r="U514"/>
    </row>
    <row r="515" spans="2:21" x14ac:dyDescent="0.2">
      <c r="B515"/>
      <c r="S515"/>
      <c r="T515"/>
      <c r="U515"/>
    </row>
    <row r="516" spans="2:21" x14ac:dyDescent="0.2">
      <c r="B516"/>
      <c r="S516"/>
      <c r="T516"/>
      <c r="U516"/>
    </row>
    <row r="517" spans="2:21" x14ac:dyDescent="0.2">
      <c r="B517"/>
      <c r="S517"/>
      <c r="T517"/>
      <c r="U517"/>
    </row>
    <row r="518" spans="2:21" x14ac:dyDescent="0.2">
      <c r="B518"/>
      <c r="S518"/>
      <c r="T518"/>
      <c r="U518"/>
    </row>
    <row r="519" spans="2:21" x14ac:dyDescent="0.2">
      <c r="B519"/>
      <c r="S519"/>
      <c r="T519"/>
      <c r="U519"/>
    </row>
    <row r="520" spans="2:21" x14ac:dyDescent="0.2">
      <c r="B520"/>
      <c r="S520"/>
      <c r="T520"/>
      <c r="U520"/>
    </row>
    <row r="521" spans="2:21" x14ac:dyDescent="0.2">
      <c r="B521"/>
      <c r="S521"/>
      <c r="T521"/>
      <c r="U521"/>
    </row>
    <row r="522" spans="2:21" x14ac:dyDescent="0.2">
      <c r="B522"/>
      <c r="S522"/>
      <c r="T522"/>
      <c r="U522"/>
    </row>
    <row r="523" spans="2:21" x14ac:dyDescent="0.2">
      <c r="B523"/>
      <c r="S523"/>
      <c r="T523"/>
      <c r="U523"/>
    </row>
    <row r="524" spans="2:21" x14ac:dyDescent="0.2">
      <c r="B524"/>
      <c r="S524"/>
      <c r="T524"/>
      <c r="U524"/>
    </row>
    <row r="525" spans="2:21" x14ac:dyDescent="0.2">
      <c r="B525"/>
      <c r="S525"/>
      <c r="T525"/>
      <c r="U525"/>
    </row>
    <row r="526" spans="2:21" x14ac:dyDescent="0.2">
      <c r="B526"/>
      <c r="S526"/>
      <c r="T526"/>
      <c r="U526"/>
    </row>
    <row r="527" spans="2:21" x14ac:dyDescent="0.2">
      <c r="B527"/>
      <c r="S527"/>
      <c r="T527"/>
      <c r="U527"/>
    </row>
    <row r="528" spans="2:21" x14ac:dyDescent="0.2">
      <c r="B528"/>
      <c r="S528"/>
      <c r="T528"/>
      <c r="U528"/>
    </row>
    <row r="529" spans="2:21" x14ac:dyDescent="0.2">
      <c r="B529"/>
      <c r="S529"/>
      <c r="T529"/>
      <c r="U529"/>
    </row>
    <row r="530" spans="2:21" x14ac:dyDescent="0.2">
      <c r="B530"/>
      <c r="S530"/>
      <c r="T530"/>
      <c r="U530"/>
    </row>
    <row r="531" spans="2:21" x14ac:dyDescent="0.2">
      <c r="B531"/>
      <c r="S531"/>
      <c r="T531"/>
      <c r="U531"/>
    </row>
    <row r="532" spans="2:21" x14ac:dyDescent="0.2">
      <c r="B532"/>
      <c r="S532"/>
      <c r="T532"/>
      <c r="U532"/>
    </row>
    <row r="533" spans="2:21" x14ac:dyDescent="0.2">
      <c r="B533"/>
      <c r="S533"/>
      <c r="T533"/>
      <c r="U533"/>
    </row>
    <row r="534" spans="2:21" x14ac:dyDescent="0.2">
      <c r="B534"/>
      <c r="S534"/>
      <c r="T534"/>
      <c r="U534"/>
    </row>
    <row r="535" spans="2:21" x14ac:dyDescent="0.2">
      <c r="B535"/>
      <c r="S535"/>
      <c r="T535"/>
      <c r="U535"/>
    </row>
    <row r="536" spans="2:21" x14ac:dyDescent="0.2">
      <c r="B536"/>
      <c r="S536"/>
      <c r="T536"/>
      <c r="U536"/>
    </row>
    <row r="537" spans="2:21" x14ac:dyDescent="0.2">
      <c r="B537"/>
      <c r="S537"/>
      <c r="T537"/>
      <c r="U537"/>
    </row>
    <row r="538" spans="2:21" x14ac:dyDescent="0.2">
      <c r="B538"/>
      <c r="S538"/>
      <c r="T538"/>
      <c r="U538"/>
    </row>
    <row r="539" spans="2:21" x14ac:dyDescent="0.2">
      <c r="B539"/>
      <c r="S539"/>
      <c r="T539"/>
      <c r="U539"/>
    </row>
    <row r="540" spans="2:21" x14ac:dyDescent="0.2">
      <c r="B540"/>
      <c r="S540"/>
      <c r="T540"/>
      <c r="U540"/>
    </row>
    <row r="541" spans="2:21" x14ac:dyDescent="0.2">
      <c r="B541"/>
      <c r="S541"/>
      <c r="T541"/>
      <c r="U541"/>
    </row>
    <row r="542" spans="2:21" x14ac:dyDescent="0.2">
      <c r="B542"/>
      <c r="S542"/>
      <c r="T542"/>
      <c r="U542"/>
    </row>
    <row r="543" spans="2:21" x14ac:dyDescent="0.2">
      <c r="B543"/>
      <c r="S543"/>
      <c r="T543"/>
      <c r="U543"/>
    </row>
    <row r="544" spans="2:21" x14ac:dyDescent="0.2">
      <c r="B544"/>
      <c r="S544"/>
      <c r="T544"/>
      <c r="U544"/>
    </row>
    <row r="545" spans="2:21" x14ac:dyDescent="0.2">
      <c r="B545"/>
      <c r="S545"/>
      <c r="T545"/>
      <c r="U545"/>
    </row>
    <row r="546" spans="2:21" x14ac:dyDescent="0.2">
      <c r="B546"/>
      <c r="S546"/>
      <c r="T546"/>
      <c r="U546"/>
    </row>
    <row r="547" spans="2:21" x14ac:dyDescent="0.2">
      <c r="B547"/>
      <c r="S547"/>
      <c r="T547"/>
      <c r="U547"/>
    </row>
    <row r="548" spans="2:21" x14ac:dyDescent="0.2">
      <c r="B548"/>
      <c r="S548"/>
      <c r="T548"/>
      <c r="U548"/>
    </row>
    <row r="549" spans="2:21" x14ac:dyDescent="0.2">
      <c r="B549"/>
      <c r="S549"/>
      <c r="T549"/>
      <c r="U549"/>
    </row>
    <row r="550" spans="2:21" x14ac:dyDescent="0.2">
      <c r="B550"/>
      <c r="S550"/>
      <c r="T550"/>
      <c r="U550"/>
    </row>
    <row r="551" spans="2:21" x14ac:dyDescent="0.2">
      <c r="B551"/>
      <c r="S551"/>
      <c r="T551"/>
      <c r="U551"/>
    </row>
    <row r="552" spans="2:21" x14ac:dyDescent="0.2">
      <c r="B552"/>
      <c r="S552"/>
      <c r="T552"/>
      <c r="U552"/>
    </row>
    <row r="553" spans="2:21" x14ac:dyDescent="0.2">
      <c r="B553"/>
      <c r="S553"/>
      <c r="T553"/>
      <c r="U553"/>
    </row>
    <row r="554" spans="2:21" x14ac:dyDescent="0.2">
      <c r="B554"/>
      <c r="S554"/>
      <c r="T554"/>
      <c r="U554"/>
    </row>
    <row r="555" spans="2:21" x14ac:dyDescent="0.2">
      <c r="B555"/>
      <c r="S555"/>
      <c r="T555"/>
      <c r="U555"/>
    </row>
    <row r="556" spans="2:21" x14ac:dyDescent="0.2">
      <c r="B556"/>
      <c r="S556"/>
      <c r="T556"/>
      <c r="U556"/>
    </row>
    <row r="557" spans="2:21" x14ac:dyDescent="0.2">
      <c r="B557"/>
      <c r="S557"/>
      <c r="T557"/>
      <c r="U557"/>
    </row>
    <row r="558" spans="2:21" x14ac:dyDescent="0.2">
      <c r="B558"/>
      <c r="S558"/>
      <c r="T558"/>
      <c r="U558"/>
    </row>
    <row r="559" spans="2:21" x14ac:dyDescent="0.2">
      <c r="B559"/>
      <c r="S559"/>
      <c r="T559"/>
      <c r="U559"/>
    </row>
    <row r="560" spans="2:21" x14ac:dyDescent="0.2">
      <c r="B560"/>
      <c r="S560"/>
      <c r="T560"/>
      <c r="U560"/>
    </row>
    <row r="561" spans="2:21" x14ac:dyDescent="0.2">
      <c r="B561"/>
      <c r="S561"/>
      <c r="T561"/>
      <c r="U561"/>
    </row>
    <row r="562" spans="2:21" x14ac:dyDescent="0.2">
      <c r="B562"/>
      <c r="S562"/>
      <c r="T562"/>
      <c r="U562"/>
    </row>
    <row r="563" spans="2:21" x14ac:dyDescent="0.2">
      <c r="B563"/>
      <c r="S563"/>
      <c r="T563"/>
      <c r="U563"/>
    </row>
    <row r="564" spans="2:21" x14ac:dyDescent="0.2">
      <c r="B564"/>
      <c r="S564"/>
      <c r="T564"/>
      <c r="U564"/>
    </row>
    <row r="565" spans="2:21" x14ac:dyDescent="0.2">
      <c r="B565"/>
      <c r="S565"/>
      <c r="T565"/>
      <c r="U565"/>
    </row>
    <row r="566" spans="2:21" x14ac:dyDescent="0.2">
      <c r="B566"/>
      <c r="S566"/>
      <c r="T566"/>
      <c r="U566"/>
    </row>
    <row r="567" spans="2:21" x14ac:dyDescent="0.2">
      <c r="B567"/>
      <c r="S567"/>
      <c r="T567"/>
      <c r="U567"/>
    </row>
    <row r="568" spans="2:21" x14ac:dyDescent="0.2">
      <c r="B568"/>
      <c r="S568"/>
      <c r="T568"/>
      <c r="U568"/>
    </row>
    <row r="569" spans="2:21" x14ac:dyDescent="0.2">
      <c r="B569"/>
      <c r="S569"/>
      <c r="T569"/>
      <c r="U569"/>
    </row>
    <row r="570" spans="2:21" x14ac:dyDescent="0.2">
      <c r="B570"/>
      <c r="S570"/>
      <c r="T570"/>
      <c r="U570"/>
    </row>
    <row r="571" spans="2:21" x14ac:dyDescent="0.2">
      <c r="B571"/>
      <c r="S571"/>
      <c r="T571"/>
      <c r="U571"/>
    </row>
    <row r="572" spans="2:21" x14ac:dyDescent="0.2">
      <c r="B572"/>
      <c r="S572"/>
      <c r="T572"/>
      <c r="U572"/>
    </row>
    <row r="573" spans="2:21" x14ac:dyDescent="0.2">
      <c r="B573"/>
      <c r="S573"/>
      <c r="T573"/>
      <c r="U573"/>
    </row>
    <row r="574" spans="2:21" x14ac:dyDescent="0.2">
      <c r="B574"/>
      <c r="S574"/>
      <c r="T574"/>
      <c r="U574"/>
    </row>
    <row r="575" spans="2:21" x14ac:dyDescent="0.2">
      <c r="B575"/>
      <c r="S575"/>
      <c r="T575"/>
      <c r="U575"/>
    </row>
    <row r="576" spans="2:21" x14ac:dyDescent="0.2">
      <c r="B576"/>
      <c r="S576"/>
      <c r="T576"/>
      <c r="U576"/>
    </row>
    <row r="577" spans="2:21" x14ac:dyDescent="0.2">
      <c r="B577"/>
      <c r="S577"/>
      <c r="T577"/>
      <c r="U577"/>
    </row>
    <row r="578" spans="2:21" x14ac:dyDescent="0.2">
      <c r="B578"/>
      <c r="S578"/>
      <c r="T578"/>
      <c r="U578"/>
    </row>
    <row r="579" spans="2:21" x14ac:dyDescent="0.2">
      <c r="B579"/>
      <c r="S579"/>
      <c r="T579"/>
      <c r="U579"/>
    </row>
    <row r="580" spans="2:21" x14ac:dyDescent="0.2">
      <c r="B580"/>
      <c r="S580"/>
      <c r="T580"/>
      <c r="U580"/>
    </row>
    <row r="581" spans="2:21" x14ac:dyDescent="0.2">
      <c r="B581"/>
      <c r="S581"/>
      <c r="T581"/>
      <c r="U581"/>
    </row>
    <row r="582" spans="2:21" x14ac:dyDescent="0.2">
      <c r="B582"/>
      <c r="S582"/>
      <c r="T582"/>
      <c r="U582"/>
    </row>
    <row r="583" spans="2:21" x14ac:dyDescent="0.2">
      <c r="B583"/>
      <c r="S583"/>
      <c r="T583"/>
      <c r="U583"/>
    </row>
    <row r="584" spans="2:21" x14ac:dyDescent="0.2">
      <c r="B584"/>
      <c r="S584"/>
      <c r="T584"/>
      <c r="U584"/>
    </row>
    <row r="585" spans="2:21" x14ac:dyDescent="0.2">
      <c r="B585"/>
      <c r="S585"/>
      <c r="T585"/>
      <c r="U585"/>
    </row>
    <row r="586" spans="2:21" x14ac:dyDescent="0.2">
      <c r="B586"/>
      <c r="S586"/>
      <c r="T586"/>
      <c r="U586"/>
    </row>
    <row r="587" spans="2:21" x14ac:dyDescent="0.2">
      <c r="B587"/>
      <c r="S587"/>
      <c r="T587"/>
      <c r="U587"/>
    </row>
    <row r="588" spans="2:21" x14ac:dyDescent="0.2">
      <c r="B588"/>
      <c r="S588"/>
      <c r="T588"/>
      <c r="U588"/>
    </row>
    <row r="589" spans="2:21" x14ac:dyDescent="0.2">
      <c r="B589"/>
      <c r="S589"/>
      <c r="T589"/>
      <c r="U589"/>
    </row>
    <row r="590" spans="2:21" x14ac:dyDescent="0.2">
      <c r="B590"/>
      <c r="S590"/>
      <c r="T590"/>
      <c r="U590"/>
    </row>
    <row r="591" spans="2:21" x14ac:dyDescent="0.2">
      <c r="B591"/>
      <c r="S591"/>
      <c r="T591"/>
      <c r="U591"/>
    </row>
    <row r="592" spans="2:21" x14ac:dyDescent="0.2">
      <c r="B592"/>
      <c r="S592"/>
      <c r="T592"/>
      <c r="U592"/>
    </row>
    <row r="593" spans="2:21" x14ac:dyDescent="0.2">
      <c r="B593"/>
      <c r="S593"/>
      <c r="T593"/>
      <c r="U593"/>
    </row>
    <row r="594" spans="2:21" x14ac:dyDescent="0.2">
      <c r="B594"/>
      <c r="S594"/>
      <c r="T594"/>
      <c r="U594"/>
    </row>
    <row r="595" spans="2:21" x14ac:dyDescent="0.2">
      <c r="B595"/>
      <c r="S595"/>
      <c r="T595"/>
      <c r="U595"/>
    </row>
    <row r="596" spans="2:21" x14ac:dyDescent="0.2">
      <c r="B596"/>
      <c r="S596"/>
      <c r="T596"/>
      <c r="U596"/>
    </row>
    <row r="597" spans="2:21" x14ac:dyDescent="0.2">
      <c r="B597"/>
      <c r="S597"/>
      <c r="T597"/>
      <c r="U597"/>
    </row>
    <row r="598" spans="2:21" x14ac:dyDescent="0.2">
      <c r="B598"/>
      <c r="S598"/>
      <c r="T598"/>
      <c r="U598"/>
    </row>
    <row r="599" spans="2:21" x14ac:dyDescent="0.2">
      <c r="B599"/>
      <c r="S599"/>
      <c r="T599"/>
      <c r="U599"/>
    </row>
    <row r="600" spans="2:21" x14ac:dyDescent="0.2">
      <c r="B600"/>
      <c r="S600"/>
      <c r="T600"/>
      <c r="U600"/>
    </row>
    <row r="601" spans="2:21" x14ac:dyDescent="0.2">
      <c r="B601"/>
      <c r="S601"/>
      <c r="T601"/>
      <c r="U601"/>
    </row>
    <row r="602" spans="2:21" x14ac:dyDescent="0.2">
      <c r="B602"/>
      <c r="S602"/>
      <c r="T602"/>
      <c r="U602"/>
    </row>
    <row r="603" spans="2:21" x14ac:dyDescent="0.2">
      <c r="B603"/>
      <c r="S603"/>
      <c r="T603"/>
      <c r="U603"/>
    </row>
    <row r="604" spans="2:21" x14ac:dyDescent="0.2">
      <c r="B604"/>
      <c r="S604"/>
      <c r="T604"/>
      <c r="U604"/>
    </row>
    <row r="605" spans="2:21" x14ac:dyDescent="0.2">
      <c r="B605"/>
      <c r="S605"/>
      <c r="T605"/>
      <c r="U605"/>
    </row>
    <row r="606" spans="2:21" x14ac:dyDescent="0.2">
      <c r="B606"/>
      <c r="S606"/>
      <c r="T606"/>
      <c r="U606"/>
    </row>
    <row r="607" spans="2:21" x14ac:dyDescent="0.2">
      <c r="B607"/>
      <c r="S607"/>
      <c r="T607"/>
      <c r="U607"/>
    </row>
    <row r="608" spans="2:21" x14ac:dyDescent="0.2">
      <c r="B608"/>
      <c r="S608"/>
      <c r="T608"/>
      <c r="U608"/>
    </row>
    <row r="609" spans="2:21" x14ac:dyDescent="0.2">
      <c r="B609"/>
      <c r="S609"/>
      <c r="T609"/>
      <c r="U609"/>
    </row>
    <row r="610" spans="2:21" x14ac:dyDescent="0.2">
      <c r="B610"/>
      <c r="S610"/>
      <c r="T610"/>
      <c r="U610"/>
    </row>
    <row r="611" spans="2:21" x14ac:dyDescent="0.2">
      <c r="B611"/>
      <c r="S611"/>
      <c r="T611"/>
      <c r="U611"/>
    </row>
    <row r="612" spans="2:21" x14ac:dyDescent="0.2">
      <c r="B612"/>
      <c r="S612"/>
      <c r="T612"/>
      <c r="U612"/>
    </row>
    <row r="613" spans="2:21" x14ac:dyDescent="0.2">
      <c r="B613"/>
      <c r="S613"/>
      <c r="T613"/>
      <c r="U613"/>
    </row>
    <row r="614" spans="2:21" x14ac:dyDescent="0.2">
      <c r="B614"/>
      <c r="S614"/>
      <c r="T614"/>
      <c r="U614"/>
    </row>
    <row r="615" spans="2:21" x14ac:dyDescent="0.2">
      <c r="B615"/>
      <c r="S615"/>
      <c r="T615"/>
      <c r="U615"/>
    </row>
    <row r="616" spans="2:21" x14ac:dyDescent="0.2">
      <c r="B616"/>
      <c r="S616"/>
      <c r="T616"/>
      <c r="U616"/>
    </row>
    <row r="617" spans="2:21" x14ac:dyDescent="0.2">
      <c r="B617"/>
      <c r="S617"/>
      <c r="T617"/>
      <c r="U617"/>
    </row>
    <row r="618" spans="2:21" x14ac:dyDescent="0.2">
      <c r="B618"/>
      <c r="S618"/>
      <c r="T618"/>
      <c r="U618"/>
    </row>
    <row r="619" spans="2:21" x14ac:dyDescent="0.2">
      <c r="B619"/>
      <c r="S619"/>
      <c r="T619"/>
      <c r="U619"/>
    </row>
    <row r="620" spans="2:21" x14ac:dyDescent="0.2">
      <c r="B620"/>
      <c r="S620"/>
      <c r="T620"/>
      <c r="U620"/>
    </row>
    <row r="621" spans="2:21" x14ac:dyDescent="0.2">
      <c r="B621"/>
      <c r="S621"/>
      <c r="T621"/>
      <c r="U621"/>
    </row>
    <row r="622" spans="2:21" x14ac:dyDescent="0.2">
      <c r="B622"/>
      <c r="S622"/>
      <c r="T622"/>
      <c r="U622"/>
    </row>
    <row r="623" spans="2:21" x14ac:dyDescent="0.2">
      <c r="B623"/>
      <c r="S623"/>
      <c r="T623"/>
      <c r="U623"/>
    </row>
    <row r="624" spans="2:21" x14ac:dyDescent="0.2">
      <c r="B624"/>
      <c r="S624"/>
      <c r="T624"/>
      <c r="U624"/>
    </row>
    <row r="625" spans="2:21" x14ac:dyDescent="0.2">
      <c r="B625"/>
      <c r="S625"/>
      <c r="T625"/>
      <c r="U625"/>
    </row>
    <row r="626" spans="2:21" x14ac:dyDescent="0.2">
      <c r="B626"/>
      <c r="S626"/>
      <c r="T626"/>
      <c r="U626"/>
    </row>
    <row r="627" spans="2:21" x14ac:dyDescent="0.2">
      <c r="B627"/>
      <c r="S627"/>
      <c r="T627"/>
      <c r="U627"/>
    </row>
    <row r="628" spans="2:21" x14ac:dyDescent="0.2">
      <c r="B628"/>
      <c r="S628"/>
      <c r="T628"/>
      <c r="U628"/>
    </row>
    <row r="629" spans="2:21" x14ac:dyDescent="0.2">
      <c r="B629"/>
      <c r="S629"/>
      <c r="T629"/>
      <c r="U629"/>
    </row>
    <row r="630" spans="2:21" x14ac:dyDescent="0.2">
      <c r="B630"/>
      <c r="S630"/>
      <c r="T630"/>
      <c r="U630"/>
    </row>
    <row r="631" spans="2:21" x14ac:dyDescent="0.2">
      <c r="B631"/>
      <c r="S631"/>
      <c r="T631"/>
      <c r="U631"/>
    </row>
    <row r="632" spans="2:21" x14ac:dyDescent="0.2">
      <c r="B632"/>
      <c r="S632"/>
      <c r="T632"/>
      <c r="U632"/>
    </row>
    <row r="633" spans="2:21" x14ac:dyDescent="0.2">
      <c r="B633"/>
      <c r="S633"/>
      <c r="T633"/>
      <c r="U633"/>
    </row>
    <row r="634" spans="2:21" x14ac:dyDescent="0.2">
      <c r="B634"/>
      <c r="S634"/>
      <c r="T634"/>
      <c r="U634"/>
    </row>
    <row r="635" spans="2:21" x14ac:dyDescent="0.2">
      <c r="B635"/>
      <c r="S635"/>
      <c r="T635"/>
      <c r="U635"/>
    </row>
    <row r="636" spans="2:21" x14ac:dyDescent="0.2">
      <c r="B636"/>
      <c r="S636"/>
      <c r="T636"/>
      <c r="U636"/>
    </row>
    <row r="637" spans="2:21" x14ac:dyDescent="0.2">
      <c r="B637"/>
      <c r="S637"/>
      <c r="T637"/>
      <c r="U637"/>
    </row>
    <row r="638" spans="2:21" x14ac:dyDescent="0.2">
      <c r="B638"/>
      <c r="S638"/>
      <c r="T638"/>
      <c r="U638"/>
    </row>
    <row r="639" spans="2:21" x14ac:dyDescent="0.2">
      <c r="B639"/>
      <c r="S639"/>
      <c r="T639"/>
      <c r="U639"/>
    </row>
    <row r="640" spans="2:21" x14ac:dyDescent="0.2">
      <c r="B640"/>
      <c r="S640"/>
      <c r="T640"/>
      <c r="U640"/>
    </row>
    <row r="641" spans="2:21" x14ac:dyDescent="0.2">
      <c r="B641"/>
      <c r="S641"/>
      <c r="T641"/>
      <c r="U641"/>
    </row>
    <row r="642" spans="2:21" x14ac:dyDescent="0.2">
      <c r="B642"/>
      <c r="S642"/>
      <c r="T642"/>
      <c r="U642"/>
    </row>
    <row r="643" spans="2:21" x14ac:dyDescent="0.2">
      <c r="B643"/>
      <c r="S643"/>
      <c r="T643"/>
      <c r="U643"/>
    </row>
    <row r="644" spans="2:21" x14ac:dyDescent="0.2">
      <c r="B644"/>
      <c r="S644"/>
      <c r="T644"/>
      <c r="U644"/>
    </row>
    <row r="645" spans="2:21" x14ac:dyDescent="0.2">
      <c r="B645"/>
      <c r="S645"/>
      <c r="T645"/>
      <c r="U645"/>
    </row>
    <row r="646" spans="2:21" x14ac:dyDescent="0.2">
      <c r="B646"/>
      <c r="S646"/>
      <c r="T646"/>
      <c r="U646"/>
    </row>
    <row r="647" spans="2:21" x14ac:dyDescent="0.2">
      <c r="B647"/>
      <c r="S647"/>
      <c r="T647"/>
      <c r="U647"/>
    </row>
    <row r="648" spans="2:21" x14ac:dyDescent="0.2">
      <c r="B648"/>
      <c r="S648"/>
      <c r="T648"/>
      <c r="U648"/>
    </row>
    <row r="649" spans="2:21" x14ac:dyDescent="0.2">
      <c r="B649"/>
      <c r="S649"/>
      <c r="T649"/>
      <c r="U649"/>
    </row>
    <row r="650" spans="2:21" x14ac:dyDescent="0.2">
      <c r="B650"/>
      <c r="S650"/>
      <c r="T650"/>
      <c r="U650"/>
    </row>
    <row r="651" spans="2:21" x14ac:dyDescent="0.2">
      <c r="B651"/>
      <c r="S651"/>
      <c r="T651"/>
      <c r="U651"/>
    </row>
    <row r="652" spans="2:21" x14ac:dyDescent="0.2">
      <c r="B652"/>
      <c r="S652"/>
      <c r="T652"/>
      <c r="U652"/>
    </row>
    <row r="653" spans="2:21" x14ac:dyDescent="0.2">
      <c r="B653"/>
      <c r="S653"/>
      <c r="T653"/>
      <c r="U653"/>
    </row>
    <row r="654" spans="2:21" x14ac:dyDescent="0.2">
      <c r="B654"/>
      <c r="S654"/>
      <c r="T654"/>
      <c r="U654"/>
    </row>
    <row r="655" spans="2:21" x14ac:dyDescent="0.2">
      <c r="B655"/>
      <c r="S655"/>
      <c r="T655"/>
      <c r="U655"/>
    </row>
    <row r="656" spans="2:21" x14ac:dyDescent="0.2">
      <c r="B656"/>
      <c r="S656"/>
      <c r="T656"/>
      <c r="U656"/>
    </row>
    <row r="657" spans="2:21" x14ac:dyDescent="0.2">
      <c r="B657"/>
      <c r="S657"/>
      <c r="T657"/>
      <c r="U657"/>
    </row>
    <row r="658" spans="2:21" x14ac:dyDescent="0.2">
      <c r="B658"/>
      <c r="S658"/>
      <c r="T658"/>
      <c r="U658"/>
    </row>
    <row r="659" spans="2:21" x14ac:dyDescent="0.2">
      <c r="B659"/>
      <c r="S659"/>
      <c r="T659"/>
      <c r="U659"/>
    </row>
    <row r="660" spans="2:21" x14ac:dyDescent="0.2">
      <c r="B660"/>
      <c r="S660"/>
      <c r="T660"/>
      <c r="U660"/>
    </row>
    <row r="661" spans="2:21" x14ac:dyDescent="0.2">
      <c r="B661"/>
      <c r="S661"/>
      <c r="T661"/>
      <c r="U661"/>
    </row>
    <row r="662" spans="2:21" x14ac:dyDescent="0.2">
      <c r="B662"/>
      <c r="S662"/>
      <c r="T662"/>
      <c r="U662"/>
    </row>
    <row r="663" spans="2:21" x14ac:dyDescent="0.2">
      <c r="B663"/>
      <c r="S663"/>
      <c r="T663"/>
      <c r="U663"/>
    </row>
    <row r="664" spans="2:21" x14ac:dyDescent="0.2">
      <c r="B664"/>
      <c r="S664"/>
      <c r="T664"/>
      <c r="U664"/>
    </row>
    <row r="665" spans="2:21" x14ac:dyDescent="0.2">
      <c r="B665"/>
      <c r="S665"/>
      <c r="T665"/>
      <c r="U665"/>
    </row>
    <row r="666" spans="2:21" x14ac:dyDescent="0.2">
      <c r="B666"/>
      <c r="S666"/>
      <c r="T666"/>
      <c r="U666"/>
    </row>
    <row r="667" spans="2:21" x14ac:dyDescent="0.2">
      <c r="B667"/>
      <c r="S667"/>
      <c r="T667"/>
      <c r="U667"/>
    </row>
    <row r="668" spans="2:21" x14ac:dyDescent="0.2">
      <c r="B668"/>
      <c r="S668"/>
      <c r="T668"/>
      <c r="U668"/>
    </row>
    <row r="669" spans="2:21" x14ac:dyDescent="0.2">
      <c r="B669"/>
      <c r="S669"/>
      <c r="T669"/>
      <c r="U669"/>
    </row>
    <row r="670" spans="2:21" x14ac:dyDescent="0.2">
      <c r="B670"/>
      <c r="S670"/>
      <c r="T670"/>
      <c r="U670"/>
    </row>
    <row r="671" spans="2:21" x14ac:dyDescent="0.2">
      <c r="B671"/>
      <c r="S671"/>
      <c r="T671"/>
      <c r="U671"/>
    </row>
    <row r="672" spans="2:21" x14ac:dyDescent="0.2">
      <c r="B672"/>
      <c r="S672"/>
      <c r="T672"/>
      <c r="U672"/>
    </row>
    <row r="673" spans="2:21" x14ac:dyDescent="0.2">
      <c r="B673"/>
      <c r="S673"/>
      <c r="T673"/>
      <c r="U673"/>
    </row>
    <row r="674" spans="2:21" x14ac:dyDescent="0.2">
      <c r="B674"/>
      <c r="S674"/>
      <c r="T674"/>
      <c r="U674"/>
    </row>
    <row r="675" spans="2:21" x14ac:dyDescent="0.2">
      <c r="B675"/>
      <c r="S675"/>
      <c r="T675"/>
      <c r="U675"/>
    </row>
    <row r="676" spans="2:21" x14ac:dyDescent="0.2">
      <c r="B676"/>
      <c r="S676"/>
      <c r="T676"/>
      <c r="U676"/>
    </row>
    <row r="677" spans="2:21" x14ac:dyDescent="0.2">
      <c r="B677"/>
      <c r="S677"/>
      <c r="T677"/>
      <c r="U677"/>
    </row>
    <row r="678" spans="2:21" x14ac:dyDescent="0.2">
      <c r="B678"/>
      <c r="S678"/>
      <c r="T678"/>
      <c r="U678"/>
    </row>
    <row r="679" spans="2:21" x14ac:dyDescent="0.2">
      <c r="B679"/>
      <c r="S679"/>
      <c r="T679"/>
      <c r="U679"/>
    </row>
    <row r="680" spans="2:21" x14ac:dyDescent="0.2">
      <c r="B680"/>
      <c r="S680"/>
      <c r="T680"/>
      <c r="U680"/>
    </row>
    <row r="681" spans="2:21" x14ac:dyDescent="0.2">
      <c r="B681"/>
      <c r="S681"/>
      <c r="T681"/>
      <c r="U681"/>
    </row>
    <row r="682" spans="2:21" x14ac:dyDescent="0.2">
      <c r="B682"/>
      <c r="S682"/>
      <c r="T682"/>
      <c r="U682"/>
    </row>
    <row r="683" spans="2:21" x14ac:dyDescent="0.2">
      <c r="B683"/>
      <c r="S683"/>
      <c r="T683"/>
      <c r="U683"/>
    </row>
    <row r="684" spans="2:21" x14ac:dyDescent="0.2">
      <c r="B684"/>
      <c r="S684"/>
      <c r="T684"/>
      <c r="U684"/>
    </row>
    <row r="685" spans="2:21" x14ac:dyDescent="0.2">
      <c r="B685"/>
      <c r="S685"/>
      <c r="T685"/>
      <c r="U685"/>
    </row>
    <row r="686" spans="2:21" x14ac:dyDescent="0.2">
      <c r="B686"/>
      <c r="S686"/>
      <c r="T686"/>
      <c r="U686"/>
    </row>
    <row r="687" spans="2:21" x14ac:dyDescent="0.2">
      <c r="B687"/>
      <c r="S687"/>
      <c r="T687"/>
      <c r="U687"/>
    </row>
    <row r="688" spans="2:21" x14ac:dyDescent="0.2">
      <c r="B688"/>
      <c r="S688"/>
      <c r="T688"/>
      <c r="U688"/>
    </row>
    <row r="689" spans="2:21" x14ac:dyDescent="0.2">
      <c r="B689"/>
      <c r="S689"/>
      <c r="T689"/>
      <c r="U689"/>
    </row>
    <row r="690" spans="2:21" x14ac:dyDescent="0.2">
      <c r="B690"/>
      <c r="S690"/>
      <c r="T690"/>
      <c r="U690"/>
    </row>
    <row r="691" spans="2:21" x14ac:dyDescent="0.2">
      <c r="B691"/>
      <c r="S691"/>
      <c r="T691"/>
      <c r="U691"/>
    </row>
    <row r="692" spans="2:21" x14ac:dyDescent="0.2">
      <c r="B692"/>
      <c r="S692"/>
      <c r="T692"/>
      <c r="U692"/>
    </row>
    <row r="693" spans="2:21" x14ac:dyDescent="0.2">
      <c r="B693"/>
      <c r="S693"/>
      <c r="T693"/>
      <c r="U693"/>
    </row>
    <row r="694" spans="2:21" x14ac:dyDescent="0.2">
      <c r="B694"/>
      <c r="S694"/>
      <c r="T694"/>
      <c r="U694"/>
    </row>
    <row r="695" spans="2:21" x14ac:dyDescent="0.2">
      <c r="B695"/>
      <c r="S695"/>
      <c r="T695"/>
      <c r="U695"/>
    </row>
    <row r="696" spans="2:21" x14ac:dyDescent="0.2">
      <c r="B696"/>
      <c r="S696"/>
      <c r="T696"/>
      <c r="U696"/>
    </row>
    <row r="697" spans="2:21" x14ac:dyDescent="0.2">
      <c r="B697"/>
      <c r="S697"/>
      <c r="T697"/>
      <c r="U697"/>
    </row>
    <row r="698" spans="2:21" x14ac:dyDescent="0.2">
      <c r="B698"/>
      <c r="S698"/>
      <c r="T698"/>
      <c r="U698"/>
    </row>
    <row r="699" spans="2:21" x14ac:dyDescent="0.2">
      <c r="B699"/>
      <c r="S699"/>
      <c r="T699"/>
      <c r="U699"/>
    </row>
    <row r="700" spans="2:21" x14ac:dyDescent="0.2">
      <c r="B700"/>
      <c r="S700"/>
      <c r="T700"/>
      <c r="U700"/>
    </row>
    <row r="701" spans="2:21" x14ac:dyDescent="0.2">
      <c r="B701"/>
      <c r="S701"/>
      <c r="T701"/>
      <c r="U701"/>
    </row>
    <row r="702" spans="2:21" x14ac:dyDescent="0.2">
      <c r="B702"/>
      <c r="S702"/>
      <c r="T702"/>
      <c r="U702"/>
    </row>
    <row r="703" spans="2:21" x14ac:dyDescent="0.2">
      <c r="B703"/>
      <c r="S703"/>
      <c r="T703"/>
      <c r="U703"/>
    </row>
    <row r="704" spans="2:21" x14ac:dyDescent="0.2">
      <c r="B704"/>
      <c r="S704"/>
      <c r="T704"/>
      <c r="U704"/>
    </row>
    <row r="705" spans="2:21" x14ac:dyDescent="0.2">
      <c r="B705"/>
      <c r="S705"/>
      <c r="T705"/>
      <c r="U705"/>
    </row>
    <row r="706" spans="2:21" x14ac:dyDescent="0.2">
      <c r="B706"/>
      <c r="S706"/>
      <c r="T706"/>
      <c r="U706"/>
    </row>
    <row r="707" spans="2:21" x14ac:dyDescent="0.2">
      <c r="B707"/>
      <c r="S707"/>
      <c r="T707"/>
      <c r="U707"/>
    </row>
    <row r="708" spans="2:21" x14ac:dyDescent="0.2">
      <c r="B708"/>
      <c r="S708"/>
      <c r="T708"/>
      <c r="U708"/>
    </row>
    <row r="709" spans="2:21" x14ac:dyDescent="0.2">
      <c r="B709"/>
      <c r="S709"/>
      <c r="T709"/>
      <c r="U709"/>
    </row>
    <row r="710" spans="2:21" x14ac:dyDescent="0.2">
      <c r="B710"/>
      <c r="S710"/>
      <c r="T710"/>
      <c r="U710"/>
    </row>
    <row r="711" spans="2:21" x14ac:dyDescent="0.2">
      <c r="B711"/>
      <c r="S711"/>
      <c r="T711"/>
      <c r="U711"/>
    </row>
    <row r="712" spans="2:21" x14ac:dyDescent="0.2">
      <c r="B712"/>
      <c r="S712"/>
      <c r="T712"/>
      <c r="U712"/>
    </row>
    <row r="713" spans="2:21" x14ac:dyDescent="0.2">
      <c r="B713"/>
      <c r="S713"/>
      <c r="T713"/>
      <c r="U713"/>
    </row>
    <row r="714" spans="2:21" x14ac:dyDescent="0.2">
      <c r="B714"/>
      <c r="S714"/>
      <c r="T714"/>
      <c r="U714"/>
    </row>
    <row r="715" spans="2:21" x14ac:dyDescent="0.2">
      <c r="B715"/>
      <c r="S715"/>
      <c r="T715"/>
      <c r="U715"/>
    </row>
    <row r="716" spans="2:21" x14ac:dyDescent="0.2">
      <c r="B716"/>
      <c r="S716"/>
      <c r="T716"/>
      <c r="U716"/>
    </row>
    <row r="717" spans="2:21" x14ac:dyDescent="0.2">
      <c r="B717"/>
      <c r="S717"/>
      <c r="T717"/>
      <c r="U717"/>
    </row>
    <row r="718" spans="2:21" x14ac:dyDescent="0.2">
      <c r="B718"/>
      <c r="S718"/>
      <c r="T718"/>
      <c r="U718"/>
    </row>
    <row r="719" spans="2:21" x14ac:dyDescent="0.2">
      <c r="B719"/>
      <c r="S719"/>
      <c r="T719"/>
      <c r="U719"/>
    </row>
    <row r="720" spans="2:21" x14ac:dyDescent="0.2">
      <c r="B720"/>
      <c r="S720"/>
      <c r="T720"/>
      <c r="U720"/>
    </row>
    <row r="721" spans="2:21" x14ac:dyDescent="0.2">
      <c r="B721"/>
      <c r="S721"/>
      <c r="T721"/>
      <c r="U721"/>
    </row>
    <row r="722" spans="2:21" x14ac:dyDescent="0.2">
      <c r="B722"/>
      <c r="S722"/>
      <c r="T722"/>
      <c r="U722"/>
    </row>
    <row r="723" spans="2:21" x14ac:dyDescent="0.2">
      <c r="B723"/>
      <c r="S723"/>
      <c r="T723"/>
      <c r="U723"/>
    </row>
    <row r="724" spans="2:21" x14ac:dyDescent="0.2">
      <c r="B724"/>
      <c r="S724"/>
      <c r="T724"/>
      <c r="U724"/>
    </row>
    <row r="725" spans="2:21" x14ac:dyDescent="0.2">
      <c r="B725"/>
      <c r="S725"/>
      <c r="T725"/>
      <c r="U725"/>
    </row>
    <row r="726" spans="2:21" x14ac:dyDescent="0.2">
      <c r="B726"/>
      <c r="S726"/>
      <c r="T726"/>
      <c r="U726"/>
    </row>
    <row r="727" spans="2:21" x14ac:dyDescent="0.2">
      <c r="B727"/>
      <c r="S727"/>
      <c r="T727"/>
      <c r="U727"/>
    </row>
    <row r="728" spans="2:21" x14ac:dyDescent="0.2">
      <c r="B728"/>
      <c r="S728"/>
      <c r="T728"/>
      <c r="U728"/>
    </row>
    <row r="729" spans="2:21" x14ac:dyDescent="0.2">
      <c r="B729"/>
      <c r="S729"/>
      <c r="T729"/>
      <c r="U729"/>
    </row>
    <row r="730" spans="2:21" x14ac:dyDescent="0.2">
      <c r="B730"/>
      <c r="S730"/>
      <c r="T730"/>
      <c r="U730"/>
    </row>
    <row r="731" spans="2:21" x14ac:dyDescent="0.2">
      <c r="B731"/>
      <c r="S731"/>
      <c r="T731"/>
      <c r="U731"/>
    </row>
    <row r="732" spans="2:21" x14ac:dyDescent="0.2">
      <c r="B732"/>
      <c r="S732"/>
      <c r="T732"/>
      <c r="U732"/>
    </row>
    <row r="733" spans="2:21" x14ac:dyDescent="0.2">
      <c r="B733"/>
      <c r="S733"/>
      <c r="T733"/>
      <c r="U733"/>
    </row>
    <row r="734" spans="2:21" x14ac:dyDescent="0.2">
      <c r="B734"/>
      <c r="S734"/>
      <c r="T734"/>
      <c r="U734"/>
    </row>
    <row r="735" spans="2:21" x14ac:dyDescent="0.2">
      <c r="B735"/>
      <c r="S735"/>
      <c r="T735"/>
      <c r="U735"/>
    </row>
    <row r="736" spans="2:21" x14ac:dyDescent="0.2">
      <c r="B736"/>
      <c r="S736"/>
      <c r="T736"/>
      <c r="U736"/>
    </row>
    <row r="737" spans="2:21" x14ac:dyDescent="0.2">
      <c r="B737"/>
      <c r="S737"/>
      <c r="T737"/>
      <c r="U737"/>
    </row>
    <row r="738" spans="2:21" x14ac:dyDescent="0.2">
      <c r="B738"/>
      <c r="S738"/>
      <c r="T738"/>
      <c r="U738"/>
    </row>
    <row r="739" spans="2:21" x14ac:dyDescent="0.2">
      <c r="B739"/>
      <c r="S739"/>
      <c r="T739"/>
      <c r="U739"/>
    </row>
    <row r="740" spans="2:21" x14ac:dyDescent="0.2">
      <c r="B740"/>
      <c r="S740"/>
      <c r="T740"/>
      <c r="U740"/>
    </row>
    <row r="741" spans="2:21" x14ac:dyDescent="0.2">
      <c r="B741"/>
      <c r="S741"/>
      <c r="T741"/>
      <c r="U741"/>
    </row>
    <row r="742" spans="2:21" x14ac:dyDescent="0.2">
      <c r="B742"/>
      <c r="S742"/>
      <c r="T742"/>
      <c r="U742"/>
    </row>
    <row r="743" spans="2:21" x14ac:dyDescent="0.2">
      <c r="B743"/>
      <c r="S743"/>
      <c r="T743"/>
      <c r="U743"/>
    </row>
    <row r="744" spans="2:21" x14ac:dyDescent="0.2">
      <c r="B744"/>
      <c r="S744"/>
      <c r="T744"/>
      <c r="U744"/>
    </row>
    <row r="745" spans="2:21" x14ac:dyDescent="0.2">
      <c r="B745"/>
      <c r="S745"/>
      <c r="T745"/>
      <c r="U745"/>
    </row>
    <row r="746" spans="2:21" x14ac:dyDescent="0.2">
      <c r="B746"/>
      <c r="S746"/>
      <c r="T746"/>
      <c r="U746"/>
    </row>
    <row r="747" spans="2:21" x14ac:dyDescent="0.2">
      <c r="B747"/>
      <c r="S747"/>
      <c r="T747"/>
      <c r="U747"/>
    </row>
    <row r="748" spans="2:21" x14ac:dyDescent="0.2">
      <c r="B748"/>
      <c r="S748"/>
      <c r="T748"/>
      <c r="U748"/>
    </row>
    <row r="749" spans="2:21" x14ac:dyDescent="0.2">
      <c r="B749"/>
      <c r="S749"/>
      <c r="T749"/>
      <c r="U749"/>
    </row>
    <row r="750" spans="2:21" x14ac:dyDescent="0.2">
      <c r="B750"/>
      <c r="S750"/>
      <c r="T750"/>
      <c r="U750"/>
    </row>
    <row r="751" spans="2:21" x14ac:dyDescent="0.2">
      <c r="B751"/>
      <c r="S751"/>
      <c r="T751"/>
      <c r="U751"/>
    </row>
    <row r="752" spans="2:21" x14ac:dyDescent="0.2">
      <c r="B752"/>
      <c r="S752"/>
      <c r="T752"/>
      <c r="U752"/>
    </row>
    <row r="753" spans="2:21" x14ac:dyDescent="0.2">
      <c r="B753"/>
      <c r="S753"/>
      <c r="T753"/>
      <c r="U753"/>
    </row>
    <row r="754" spans="2:21" x14ac:dyDescent="0.2">
      <c r="B754"/>
      <c r="S754"/>
      <c r="T754"/>
      <c r="U754"/>
    </row>
    <row r="755" spans="2:21" x14ac:dyDescent="0.2">
      <c r="B755"/>
      <c r="S755"/>
      <c r="T755"/>
      <c r="U755"/>
    </row>
    <row r="756" spans="2:21" x14ac:dyDescent="0.2">
      <c r="B756"/>
      <c r="S756"/>
      <c r="T756"/>
      <c r="U756"/>
    </row>
    <row r="757" spans="2:21" x14ac:dyDescent="0.2">
      <c r="B757"/>
      <c r="S757"/>
      <c r="T757"/>
      <c r="U757"/>
    </row>
    <row r="758" spans="2:21" x14ac:dyDescent="0.2">
      <c r="B758"/>
      <c r="S758"/>
      <c r="T758"/>
      <c r="U758"/>
    </row>
    <row r="759" spans="2:21" x14ac:dyDescent="0.2">
      <c r="B759"/>
      <c r="S759"/>
      <c r="T759"/>
      <c r="U759"/>
    </row>
    <row r="760" spans="2:21" x14ac:dyDescent="0.2">
      <c r="B760"/>
      <c r="S760"/>
      <c r="T760"/>
      <c r="U760"/>
    </row>
    <row r="761" spans="2:21" x14ac:dyDescent="0.2">
      <c r="B761"/>
      <c r="S761"/>
      <c r="T761"/>
      <c r="U761"/>
    </row>
    <row r="762" spans="2:21" x14ac:dyDescent="0.2">
      <c r="B762"/>
      <c r="S762"/>
      <c r="T762"/>
      <c r="U762"/>
    </row>
    <row r="763" spans="2:21" x14ac:dyDescent="0.2">
      <c r="B763"/>
      <c r="S763"/>
      <c r="T763"/>
      <c r="U763"/>
    </row>
    <row r="764" spans="2:21" x14ac:dyDescent="0.2">
      <c r="B764"/>
      <c r="S764"/>
      <c r="T764"/>
      <c r="U764"/>
    </row>
    <row r="765" spans="2:21" x14ac:dyDescent="0.2">
      <c r="B765"/>
      <c r="S765"/>
      <c r="T765"/>
      <c r="U765"/>
    </row>
    <row r="766" spans="2:21" x14ac:dyDescent="0.2">
      <c r="B766"/>
      <c r="S766"/>
      <c r="T766"/>
      <c r="U766"/>
    </row>
    <row r="767" spans="2:21" x14ac:dyDescent="0.2">
      <c r="B767"/>
      <c r="S767"/>
      <c r="T767"/>
      <c r="U767"/>
    </row>
    <row r="768" spans="2:21" x14ac:dyDescent="0.2">
      <c r="B768"/>
      <c r="S768"/>
      <c r="T768"/>
      <c r="U768"/>
    </row>
    <row r="769" spans="2:21" x14ac:dyDescent="0.2">
      <c r="B769"/>
      <c r="S769"/>
      <c r="T769"/>
      <c r="U769"/>
    </row>
    <row r="770" spans="2:21" x14ac:dyDescent="0.2">
      <c r="B770"/>
      <c r="S770"/>
      <c r="T770"/>
      <c r="U770"/>
    </row>
    <row r="771" spans="2:21" x14ac:dyDescent="0.2">
      <c r="B771"/>
      <c r="S771"/>
      <c r="T771"/>
      <c r="U771"/>
    </row>
    <row r="772" spans="2:21" x14ac:dyDescent="0.2">
      <c r="B772"/>
      <c r="S772"/>
      <c r="T772"/>
      <c r="U772"/>
    </row>
    <row r="773" spans="2:21" x14ac:dyDescent="0.2">
      <c r="B773"/>
      <c r="S773"/>
      <c r="T773"/>
      <c r="U773"/>
    </row>
    <row r="774" spans="2:21" x14ac:dyDescent="0.2">
      <c r="B774"/>
      <c r="S774"/>
      <c r="T774"/>
      <c r="U774"/>
    </row>
    <row r="775" spans="2:21" x14ac:dyDescent="0.2">
      <c r="B775"/>
      <c r="S775"/>
      <c r="T775"/>
      <c r="U775"/>
    </row>
    <row r="776" spans="2:21" x14ac:dyDescent="0.2">
      <c r="B776"/>
      <c r="S776"/>
      <c r="T776"/>
      <c r="U776"/>
    </row>
    <row r="777" spans="2:21" x14ac:dyDescent="0.2">
      <c r="B777"/>
      <c r="S777"/>
      <c r="T777"/>
      <c r="U777"/>
    </row>
    <row r="778" spans="2:21" x14ac:dyDescent="0.2">
      <c r="B778"/>
      <c r="S778"/>
      <c r="T778"/>
      <c r="U778"/>
    </row>
    <row r="779" spans="2:21" x14ac:dyDescent="0.2">
      <c r="B779"/>
      <c r="S779"/>
      <c r="T779"/>
      <c r="U779"/>
    </row>
    <row r="780" spans="2:21" x14ac:dyDescent="0.2">
      <c r="B780"/>
      <c r="S780"/>
      <c r="T780"/>
      <c r="U780"/>
    </row>
    <row r="781" spans="2:21" x14ac:dyDescent="0.2">
      <c r="B781"/>
      <c r="S781"/>
      <c r="T781"/>
      <c r="U781"/>
    </row>
    <row r="782" spans="2:21" x14ac:dyDescent="0.2">
      <c r="B782"/>
      <c r="S782"/>
      <c r="T782"/>
      <c r="U782"/>
    </row>
    <row r="783" spans="2:21" x14ac:dyDescent="0.2">
      <c r="B783"/>
      <c r="S783"/>
      <c r="T783"/>
      <c r="U783"/>
    </row>
    <row r="784" spans="2:21" x14ac:dyDescent="0.2">
      <c r="B784"/>
      <c r="S784"/>
      <c r="T784"/>
      <c r="U784"/>
    </row>
    <row r="785" spans="2:21" x14ac:dyDescent="0.2">
      <c r="B785"/>
      <c r="S785"/>
      <c r="T785"/>
      <c r="U785"/>
    </row>
    <row r="786" spans="2:21" x14ac:dyDescent="0.2">
      <c r="B786"/>
      <c r="S786"/>
      <c r="T786"/>
      <c r="U786"/>
    </row>
    <row r="787" spans="2:21" x14ac:dyDescent="0.2">
      <c r="B787"/>
      <c r="S787"/>
      <c r="T787"/>
      <c r="U787"/>
    </row>
    <row r="788" spans="2:21" x14ac:dyDescent="0.2">
      <c r="B788"/>
      <c r="S788"/>
      <c r="T788"/>
      <c r="U788"/>
    </row>
    <row r="789" spans="2:21" x14ac:dyDescent="0.2">
      <c r="B789"/>
      <c r="S789"/>
      <c r="T789"/>
      <c r="U789"/>
    </row>
    <row r="790" spans="2:21" x14ac:dyDescent="0.2">
      <c r="B790"/>
      <c r="S790"/>
      <c r="T790"/>
      <c r="U790"/>
    </row>
    <row r="791" spans="2:21" x14ac:dyDescent="0.2">
      <c r="B791"/>
      <c r="S791"/>
      <c r="T791"/>
      <c r="U791"/>
    </row>
    <row r="792" spans="2:21" x14ac:dyDescent="0.2">
      <c r="B792"/>
      <c r="S792"/>
      <c r="T792"/>
      <c r="U792"/>
    </row>
    <row r="793" spans="2:21" x14ac:dyDescent="0.2">
      <c r="B793"/>
      <c r="S793"/>
      <c r="T793"/>
      <c r="U793"/>
    </row>
    <row r="794" spans="2:21" x14ac:dyDescent="0.2">
      <c r="B794"/>
      <c r="S794"/>
      <c r="T794"/>
      <c r="U794"/>
    </row>
    <row r="795" spans="2:21" x14ac:dyDescent="0.2">
      <c r="B795"/>
      <c r="S795"/>
      <c r="T795"/>
      <c r="U795"/>
    </row>
    <row r="796" spans="2:21" x14ac:dyDescent="0.2">
      <c r="B796"/>
      <c r="S796"/>
      <c r="T796"/>
      <c r="U796"/>
    </row>
    <row r="797" spans="2:21" x14ac:dyDescent="0.2">
      <c r="B797"/>
      <c r="S797"/>
      <c r="T797"/>
      <c r="U797"/>
    </row>
    <row r="798" spans="2:21" x14ac:dyDescent="0.2">
      <c r="B798"/>
      <c r="S798"/>
      <c r="T798"/>
      <c r="U798"/>
    </row>
    <row r="799" spans="2:21" x14ac:dyDescent="0.2">
      <c r="B799"/>
      <c r="S799"/>
      <c r="T799"/>
      <c r="U799"/>
    </row>
    <row r="800" spans="2:21" x14ac:dyDescent="0.2">
      <c r="B800"/>
      <c r="S800"/>
      <c r="T800"/>
      <c r="U800"/>
    </row>
    <row r="801" spans="2:21" x14ac:dyDescent="0.2">
      <c r="B801"/>
      <c r="S801"/>
      <c r="T801"/>
      <c r="U801"/>
    </row>
    <row r="802" spans="2:21" x14ac:dyDescent="0.2">
      <c r="B802"/>
      <c r="S802"/>
      <c r="T802"/>
      <c r="U802"/>
    </row>
    <row r="803" spans="2:21" x14ac:dyDescent="0.2">
      <c r="B803"/>
      <c r="S803"/>
      <c r="T803"/>
      <c r="U803"/>
    </row>
    <row r="804" spans="2:21" x14ac:dyDescent="0.2">
      <c r="B804"/>
      <c r="S804"/>
      <c r="T804"/>
      <c r="U804"/>
    </row>
    <row r="805" spans="2:21" x14ac:dyDescent="0.2">
      <c r="B805"/>
      <c r="S805"/>
      <c r="T805"/>
      <c r="U805"/>
    </row>
    <row r="806" spans="2:21" x14ac:dyDescent="0.2">
      <c r="B806"/>
      <c r="S806"/>
      <c r="T806"/>
      <c r="U806"/>
    </row>
    <row r="807" spans="2:21" x14ac:dyDescent="0.2">
      <c r="B807"/>
      <c r="S807"/>
      <c r="T807"/>
      <c r="U807"/>
    </row>
    <row r="808" spans="2:21" x14ac:dyDescent="0.2">
      <c r="B808"/>
      <c r="S808"/>
      <c r="T808"/>
      <c r="U808"/>
    </row>
    <row r="809" spans="2:21" x14ac:dyDescent="0.2">
      <c r="B809"/>
      <c r="S809"/>
      <c r="T809"/>
      <c r="U809"/>
    </row>
    <row r="810" spans="2:21" x14ac:dyDescent="0.2">
      <c r="B810"/>
      <c r="S810"/>
      <c r="T810"/>
      <c r="U810"/>
    </row>
    <row r="811" spans="2:21" x14ac:dyDescent="0.2">
      <c r="B811"/>
      <c r="S811"/>
      <c r="T811"/>
      <c r="U811"/>
    </row>
    <row r="812" spans="2:21" x14ac:dyDescent="0.2">
      <c r="B812"/>
      <c r="S812"/>
      <c r="T812"/>
      <c r="U812"/>
    </row>
    <row r="813" spans="2:21" x14ac:dyDescent="0.2">
      <c r="B813"/>
      <c r="S813"/>
      <c r="T813"/>
      <c r="U813"/>
    </row>
    <row r="814" spans="2:21" x14ac:dyDescent="0.2">
      <c r="B814"/>
      <c r="S814"/>
      <c r="T814"/>
      <c r="U814"/>
    </row>
    <row r="815" spans="2:21" x14ac:dyDescent="0.2">
      <c r="B815"/>
      <c r="S815"/>
      <c r="T815"/>
      <c r="U815"/>
    </row>
    <row r="816" spans="2:21" x14ac:dyDescent="0.2">
      <c r="B816"/>
      <c r="S816"/>
      <c r="T816"/>
      <c r="U816"/>
    </row>
    <row r="817" spans="2:21" x14ac:dyDescent="0.2">
      <c r="B817"/>
      <c r="S817"/>
      <c r="T817"/>
      <c r="U817"/>
    </row>
    <row r="818" spans="2:21" x14ac:dyDescent="0.2">
      <c r="B818"/>
      <c r="S818"/>
      <c r="T818"/>
      <c r="U818"/>
    </row>
    <row r="819" spans="2:21" x14ac:dyDescent="0.2">
      <c r="B819"/>
      <c r="S819"/>
      <c r="T819"/>
      <c r="U819"/>
    </row>
    <row r="820" spans="2:21" x14ac:dyDescent="0.2">
      <c r="B820"/>
      <c r="S820"/>
      <c r="T820"/>
      <c r="U820"/>
    </row>
    <row r="821" spans="2:21" x14ac:dyDescent="0.2">
      <c r="B821"/>
      <c r="S821"/>
      <c r="T821"/>
      <c r="U821"/>
    </row>
    <row r="822" spans="2:21" x14ac:dyDescent="0.2">
      <c r="B822"/>
      <c r="S822"/>
      <c r="T822"/>
      <c r="U822"/>
    </row>
    <row r="823" spans="2:21" x14ac:dyDescent="0.2">
      <c r="B823"/>
      <c r="S823"/>
      <c r="T823"/>
      <c r="U823"/>
    </row>
    <row r="824" spans="2:21" x14ac:dyDescent="0.2">
      <c r="B824"/>
      <c r="S824"/>
      <c r="T824"/>
      <c r="U824"/>
    </row>
    <row r="825" spans="2:21" x14ac:dyDescent="0.2">
      <c r="B825"/>
      <c r="S825"/>
      <c r="T825"/>
      <c r="U825"/>
    </row>
    <row r="826" spans="2:21" x14ac:dyDescent="0.2">
      <c r="B826"/>
      <c r="S826"/>
      <c r="T826"/>
      <c r="U826"/>
    </row>
    <row r="827" spans="2:21" x14ac:dyDescent="0.2">
      <c r="B827"/>
      <c r="S827"/>
      <c r="T827"/>
      <c r="U827"/>
    </row>
    <row r="828" spans="2:21" x14ac:dyDescent="0.2">
      <c r="B828"/>
      <c r="S828"/>
      <c r="T828"/>
      <c r="U828"/>
    </row>
    <row r="829" spans="2:21" x14ac:dyDescent="0.2">
      <c r="B829"/>
      <c r="S829"/>
      <c r="T829"/>
      <c r="U829"/>
    </row>
    <row r="830" spans="2:21" x14ac:dyDescent="0.2">
      <c r="B830"/>
      <c r="S830"/>
      <c r="T830"/>
      <c r="U830"/>
    </row>
    <row r="831" spans="2:21" x14ac:dyDescent="0.2">
      <c r="B831"/>
      <c r="S831"/>
      <c r="T831"/>
      <c r="U831"/>
    </row>
    <row r="832" spans="2:21" x14ac:dyDescent="0.2">
      <c r="B832"/>
      <c r="S832"/>
      <c r="T832"/>
      <c r="U832"/>
    </row>
    <row r="833" spans="2:21" x14ac:dyDescent="0.2">
      <c r="B833"/>
      <c r="S833"/>
      <c r="T833"/>
      <c r="U833"/>
    </row>
    <row r="834" spans="2:21" x14ac:dyDescent="0.2">
      <c r="B834"/>
      <c r="S834"/>
      <c r="T834"/>
      <c r="U834"/>
    </row>
    <row r="835" spans="2:21" x14ac:dyDescent="0.2">
      <c r="B835"/>
      <c r="S835"/>
      <c r="T835"/>
      <c r="U835"/>
    </row>
    <row r="836" spans="2:21" x14ac:dyDescent="0.2">
      <c r="B836"/>
      <c r="S836"/>
      <c r="T836"/>
      <c r="U836"/>
    </row>
    <row r="837" spans="2:21" x14ac:dyDescent="0.2">
      <c r="B837"/>
      <c r="S837"/>
      <c r="T837"/>
      <c r="U837"/>
    </row>
    <row r="838" spans="2:21" x14ac:dyDescent="0.2">
      <c r="B838"/>
      <c r="S838"/>
      <c r="T838"/>
      <c r="U838"/>
    </row>
    <row r="839" spans="2:21" x14ac:dyDescent="0.2">
      <c r="B839"/>
      <c r="S839"/>
      <c r="T839"/>
      <c r="U839"/>
    </row>
    <row r="840" spans="2:21" x14ac:dyDescent="0.2">
      <c r="B840"/>
      <c r="S840"/>
      <c r="T840"/>
      <c r="U840"/>
    </row>
    <row r="841" spans="2:21" x14ac:dyDescent="0.2">
      <c r="B841"/>
      <c r="S841"/>
      <c r="T841"/>
      <c r="U841"/>
    </row>
    <row r="842" spans="2:21" x14ac:dyDescent="0.2">
      <c r="B842"/>
      <c r="S842"/>
      <c r="T842"/>
      <c r="U842"/>
    </row>
    <row r="843" spans="2:21" x14ac:dyDescent="0.2">
      <c r="B843"/>
      <c r="S843"/>
      <c r="T843"/>
      <c r="U843"/>
    </row>
    <row r="844" spans="2:21" x14ac:dyDescent="0.2">
      <c r="B844"/>
      <c r="S844"/>
      <c r="T844"/>
      <c r="U844"/>
    </row>
    <row r="845" spans="2:21" x14ac:dyDescent="0.2">
      <c r="B845"/>
      <c r="S845"/>
      <c r="T845"/>
      <c r="U845"/>
    </row>
    <row r="846" spans="2:21" x14ac:dyDescent="0.2">
      <c r="B846"/>
      <c r="S846"/>
      <c r="T846"/>
      <c r="U846"/>
    </row>
    <row r="847" spans="2:21" x14ac:dyDescent="0.2">
      <c r="B847"/>
      <c r="S847"/>
      <c r="T847"/>
      <c r="U847"/>
    </row>
    <row r="848" spans="2:21" x14ac:dyDescent="0.2">
      <c r="B848"/>
      <c r="S848"/>
      <c r="T848"/>
      <c r="U848"/>
    </row>
    <row r="849" spans="2:21" x14ac:dyDescent="0.2">
      <c r="B849"/>
      <c r="S849"/>
      <c r="T849"/>
      <c r="U849"/>
    </row>
    <row r="850" spans="2:21" x14ac:dyDescent="0.2">
      <c r="B850"/>
      <c r="S850"/>
      <c r="T850"/>
      <c r="U850"/>
    </row>
    <row r="851" spans="2:21" x14ac:dyDescent="0.2">
      <c r="B851"/>
      <c r="S851"/>
      <c r="T851"/>
      <c r="U851"/>
    </row>
    <row r="852" spans="2:21" x14ac:dyDescent="0.2">
      <c r="B852"/>
      <c r="S852"/>
      <c r="T852"/>
      <c r="U852"/>
    </row>
    <row r="853" spans="2:21" x14ac:dyDescent="0.2">
      <c r="B853"/>
      <c r="S853"/>
      <c r="T853"/>
      <c r="U853"/>
    </row>
    <row r="854" spans="2:21" x14ac:dyDescent="0.2">
      <c r="B854"/>
      <c r="S854"/>
      <c r="T854"/>
      <c r="U854"/>
    </row>
    <row r="855" spans="2:21" x14ac:dyDescent="0.2">
      <c r="B855"/>
      <c r="S855"/>
      <c r="T855"/>
      <c r="U855"/>
    </row>
    <row r="856" spans="2:21" x14ac:dyDescent="0.2">
      <c r="B856"/>
      <c r="S856"/>
      <c r="T856"/>
      <c r="U856"/>
    </row>
    <row r="857" spans="2:21" x14ac:dyDescent="0.2">
      <c r="B857"/>
      <c r="S857"/>
      <c r="T857"/>
      <c r="U857"/>
    </row>
    <row r="858" spans="2:21" x14ac:dyDescent="0.2">
      <c r="B858"/>
      <c r="S858"/>
      <c r="T858"/>
      <c r="U858"/>
    </row>
    <row r="859" spans="2:21" x14ac:dyDescent="0.2">
      <c r="B859"/>
      <c r="S859"/>
      <c r="T859"/>
      <c r="U859"/>
    </row>
    <row r="860" spans="2:21" x14ac:dyDescent="0.2">
      <c r="B860"/>
      <c r="S860"/>
      <c r="T860"/>
      <c r="U860"/>
    </row>
    <row r="861" spans="2:21" x14ac:dyDescent="0.2">
      <c r="B861"/>
      <c r="S861"/>
      <c r="T861"/>
      <c r="U861"/>
    </row>
    <row r="862" spans="2:21" x14ac:dyDescent="0.2">
      <c r="B862"/>
      <c r="S862"/>
      <c r="T862"/>
      <c r="U862"/>
    </row>
    <row r="863" spans="2:21" x14ac:dyDescent="0.2">
      <c r="B863"/>
      <c r="S863"/>
      <c r="T863"/>
      <c r="U863"/>
    </row>
    <row r="864" spans="2:21" x14ac:dyDescent="0.2">
      <c r="B864"/>
      <c r="S864"/>
      <c r="T864"/>
      <c r="U864"/>
    </row>
    <row r="865" spans="2:21" x14ac:dyDescent="0.2">
      <c r="B865"/>
      <c r="S865"/>
      <c r="T865"/>
      <c r="U865"/>
    </row>
    <row r="866" spans="2:21" x14ac:dyDescent="0.2">
      <c r="B866"/>
      <c r="S866"/>
      <c r="T866"/>
      <c r="U866"/>
    </row>
    <row r="867" spans="2:21" x14ac:dyDescent="0.2">
      <c r="B867"/>
      <c r="S867"/>
      <c r="T867"/>
      <c r="U867"/>
    </row>
    <row r="868" spans="2:21" x14ac:dyDescent="0.2">
      <c r="B868"/>
      <c r="S868"/>
      <c r="T868"/>
      <c r="U868"/>
    </row>
    <row r="869" spans="2:21" x14ac:dyDescent="0.2">
      <c r="B869"/>
      <c r="S869"/>
      <c r="T869"/>
      <c r="U869"/>
    </row>
    <row r="870" spans="2:21" x14ac:dyDescent="0.2">
      <c r="B870"/>
      <c r="S870"/>
      <c r="T870"/>
      <c r="U870"/>
    </row>
    <row r="871" spans="2:21" x14ac:dyDescent="0.2">
      <c r="B871"/>
      <c r="S871"/>
      <c r="T871"/>
      <c r="U871"/>
    </row>
    <row r="872" spans="2:21" x14ac:dyDescent="0.2">
      <c r="B872"/>
      <c r="S872"/>
      <c r="T872"/>
      <c r="U872"/>
    </row>
    <row r="873" spans="2:21" x14ac:dyDescent="0.2">
      <c r="B873"/>
      <c r="S873"/>
      <c r="T873"/>
      <c r="U873"/>
    </row>
    <row r="874" spans="2:21" x14ac:dyDescent="0.2">
      <c r="B874"/>
      <c r="S874"/>
      <c r="T874"/>
      <c r="U874"/>
    </row>
    <row r="875" spans="2:21" x14ac:dyDescent="0.2">
      <c r="B875"/>
      <c r="S875"/>
      <c r="T875"/>
      <c r="U875"/>
    </row>
    <row r="876" spans="2:21" x14ac:dyDescent="0.2">
      <c r="B876"/>
      <c r="S876"/>
      <c r="T876"/>
      <c r="U876"/>
    </row>
    <row r="877" spans="2:21" x14ac:dyDescent="0.2">
      <c r="B877"/>
      <c r="S877"/>
      <c r="T877"/>
      <c r="U877"/>
    </row>
    <row r="878" spans="2:21" x14ac:dyDescent="0.2">
      <c r="B878"/>
      <c r="S878"/>
      <c r="T878"/>
      <c r="U878"/>
    </row>
    <row r="879" spans="2:21" x14ac:dyDescent="0.2">
      <c r="B879"/>
      <c r="S879"/>
      <c r="T879"/>
      <c r="U879"/>
    </row>
    <row r="880" spans="2:21" x14ac:dyDescent="0.2">
      <c r="B880"/>
      <c r="S880"/>
      <c r="T880"/>
      <c r="U880"/>
    </row>
    <row r="881" spans="2:21" x14ac:dyDescent="0.2">
      <c r="B881"/>
      <c r="S881"/>
      <c r="T881"/>
      <c r="U881"/>
    </row>
    <row r="882" spans="2:21" x14ac:dyDescent="0.2">
      <c r="B882"/>
      <c r="S882"/>
      <c r="T882"/>
      <c r="U882"/>
    </row>
    <row r="883" spans="2:21" x14ac:dyDescent="0.2">
      <c r="B883"/>
      <c r="S883"/>
      <c r="T883"/>
      <c r="U883"/>
    </row>
    <row r="884" spans="2:21" x14ac:dyDescent="0.2">
      <c r="B884"/>
      <c r="S884"/>
      <c r="T884"/>
      <c r="U884"/>
    </row>
    <row r="885" spans="2:21" x14ac:dyDescent="0.2">
      <c r="B885"/>
      <c r="S885"/>
      <c r="T885"/>
      <c r="U885"/>
    </row>
    <row r="886" spans="2:21" x14ac:dyDescent="0.2">
      <c r="B886"/>
      <c r="S886"/>
      <c r="T886"/>
      <c r="U886"/>
    </row>
    <row r="887" spans="2:21" x14ac:dyDescent="0.2">
      <c r="B887"/>
      <c r="S887"/>
      <c r="T887"/>
      <c r="U887"/>
    </row>
    <row r="888" spans="2:21" x14ac:dyDescent="0.2">
      <c r="B888"/>
      <c r="S888"/>
      <c r="T888"/>
      <c r="U888"/>
    </row>
    <row r="889" spans="2:21" x14ac:dyDescent="0.2">
      <c r="B889"/>
      <c r="S889"/>
      <c r="T889"/>
      <c r="U889"/>
    </row>
    <row r="890" spans="2:21" x14ac:dyDescent="0.2">
      <c r="B890"/>
      <c r="S890"/>
      <c r="T890"/>
      <c r="U890"/>
    </row>
    <row r="891" spans="2:21" x14ac:dyDescent="0.2">
      <c r="B891"/>
      <c r="S891"/>
      <c r="T891"/>
      <c r="U891"/>
    </row>
    <row r="892" spans="2:21" x14ac:dyDescent="0.2">
      <c r="B892"/>
      <c r="S892"/>
      <c r="T892"/>
      <c r="U892"/>
    </row>
    <row r="893" spans="2:21" x14ac:dyDescent="0.2">
      <c r="B893"/>
      <c r="S893"/>
      <c r="T893"/>
      <c r="U893"/>
    </row>
    <row r="894" spans="2:21" x14ac:dyDescent="0.2">
      <c r="B894"/>
      <c r="S894"/>
      <c r="T894"/>
      <c r="U894"/>
    </row>
    <row r="895" spans="2:21" x14ac:dyDescent="0.2">
      <c r="B895"/>
      <c r="S895"/>
      <c r="T895"/>
      <c r="U895"/>
    </row>
    <row r="896" spans="2:21" x14ac:dyDescent="0.2">
      <c r="B896"/>
      <c r="S896"/>
      <c r="T896"/>
      <c r="U896"/>
    </row>
    <row r="897" spans="2:21" x14ac:dyDescent="0.2">
      <c r="B897"/>
      <c r="S897"/>
      <c r="T897"/>
      <c r="U897"/>
    </row>
    <row r="898" spans="2:21" x14ac:dyDescent="0.2">
      <c r="B898"/>
      <c r="S898"/>
      <c r="T898"/>
      <c r="U898"/>
    </row>
    <row r="899" spans="2:21" x14ac:dyDescent="0.2">
      <c r="B899"/>
      <c r="S899"/>
      <c r="T899"/>
      <c r="U899"/>
    </row>
    <row r="900" spans="2:21" x14ac:dyDescent="0.2">
      <c r="B900"/>
      <c r="S900"/>
      <c r="T900"/>
      <c r="U900"/>
    </row>
    <row r="901" spans="2:21" x14ac:dyDescent="0.2">
      <c r="B901"/>
      <c r="S901"/>
      <c r="T901"/>
      <c r="U901"/>
    </row>
    <row r="902" spans="2:21" x14ac:dyDescent="0.2">
      <c r="B902"/>
      <c r="S902"/>
      <c r="T902"/>
      <c r="U902"/>
    </row>
    <row r="903" spans="2:21" x14ac:dyDescent="0.2">
      <c r="B903"/>
      <c r="S903"/>
      <c r="T903"/>
      <c r="U903"/>
    </row>
    <row r="904" spans="2:21" x14ac:dyDescent="0.2">
      <c r="B904"/>
      <c r="S904"/>
      <c r="T904"/>
      <c r="U904"/>
    </row>
    <row r="905" spans="2:21" x14ac:dyDescent="0.2">
      <c r="B905"/>
      <c r="S905"/>
      <c r="T905"/>
      <c r="U905"/>
    </row>
    <row r="906" spans="2:21" x14ac:dyDescent="0.2">
      <c r="B906"/>
      <c r="S906"/>
      <c r="T906"/>
      <c r="U906"/>
    </row>
    <row r="907" spans="2:21" x14ac:dyDescent="0.2">
      <c r="B907"/>
      <c r="S907"/>
      <c r="T907"/>
      <c r="U907"/>
    </row>
    <row r="908" spans="2:21" x14ac:dyDescent="0.2">
      <c r="B908"/>
      <c r="S908"/>
      <c r="T908"/>
      <c r="U908"/>
    </row>
    <row r="909" spans="2:21" x14ac:dyDescent="0.2">
      <c r="B909"/>
      <c r="S909"/>
      <c r="T909"/>
      <c r="U909"/>
    </row>
    <row r="910" spans="2:21" x14ac:dyDescent="0.2">
      <c r="B910"/>
      <c r="S910"/>
      <c r="T910"/>
      <c r="U910"/>
    </row>
    <row r="911" spans="2:21" x14ac:dyDescent="0.2">
      <c r="B911"/>
      <c r="S911"/>
      <c r="T911"/>
      <c r="U911"/>
    </row>
    <row r="912" spans="2:21" x14ac:dyDescent="0.2">
      <c r="B912"/>
      <c r="S912"/>
      <c r="T912"/>
      <c r="U912"/>
    </row>
    <row r="913" spans="2:21" x14ac:dyDescent="0.2">
      <c r="B913"/>
      <c r="S913"/>
      <c r="T913"/>
      <c r="U913"/>
    </row>
    <row r="914" spans="2:21" x14ac:dyDescent="0.2">
      <c r="B914"/>
      <c r="S914"/>
      <c r="T914"/>
      <c r="U914"/>
    </row>
    <row r="915" spans="2:21" x14ac:dyDescent="0.2">
      <c r="B915"/>
      <c r="S915"/>
      <c r="T915"/>
      <c r="U915"/>
    </row>
    <row r="916" spans="2:21" x14ac:dyDescent="0.2">
      <c r="B916"/>
      <c r="S916"/>
      <c r="T916"/>
      <c r="U916"/>
    </row>
    <row r="917" spans="2:21" x14ac:dyDescent="0.2">
      <c r="B917"/>
      <c r="S917"/>
      <c r="T917"/>
      <c r="U917"/>
    </row>
    <row r="918" spans="2:21" x14ac:dyDescent="0.2">
      <c r="B918"/>
      <c r="S918"/>
      <c r="T918"/>
      <c r="U918"/>
    </row>
    <row r="919" spans="2:21" x14ac:dyDescent="0.2">
      <c r="B919"/>
      <c r="S919"/>
      <c r="T919"/>
      <c r="U919"/>
    </row>
    <row r="920" spans="2:21" x14ac:dyDescent="0.2">
      <c r="B920"/>
      <c r="S920"/>
      <c r="T920"/>
      <c r="U920"/>
    </row>
    <row r="921" spans="2:21" x14ac:dyDescent="0.2">
      <c r="B921"/>
      <c r="S921"/>
      <c r="T921"/>
      <c r="U921"/>
    </row>
    <row r="922" spans="2:21" x14ac:dyDescent="0.2">
      <c r="B922"/>
      <c r="S922"/>
      <c r="T922"/>
      <c r="U922"/>
    </row>
    <row r="923" spans="2:21" x14ac:dyDescent="0.2">
      <c r="B923"/>
      <c r="S923"/>
      <c r="T923"/>
      <c r="U923"/>
    </row>
    <row r="924" spans="2:21" x14ac:dyDescent="0.2">
      <c r="B924"/>
      <c r="S924"/>
      <c r="T924"/>
      <c r="U924"/>
    </row>
    <row r="925" spans="2:21" x14ac:dyDescent="0.2">
      <c r="B925"/>
      <c r="S925"/>
      <c r="T925"/>
      <c r="U925"/>
    </row>
    <row r="926" spans="2:21" x14ac:dyDescent="0.2">
      <c r="B926"/>
      <c r="S926"/>
      <c r="T926"/>
      <c r="U926"/>
    </row>
    <row r="927" spans="2:21" x14ac:dyDescent="0.2">
      <c r="B927"/>
      <c r="S927"/>
      <c r="T927"/>
      <c r="U927"/>
    </row>
    <row r="928" spans="2:21" x14ac:dyDescent="0.2">
      <c r="B928"/>
      <c r="S928"/>
      <c r="T928"/>
      <c r="U928"/>
    </row>
    <row r="929" spans="2:21" x14ac:dyDescent="0.2">
      <c r="B929"/>
      <c r="S929"/>
      <c r="T929"/>
      <c r="U929"/>
    </row>
    <row r="930" spans="2:21" x14ac:dyDescent="0.2">
      <c r="B930"/>
      <c r="S930"/>
      <c r="T930"/>
      <c r="U930"/>
    </row>
    <row r="931" spans="2:21" x14ac:dyDescent="0.2">
      <c r="B931"/>
      <c r="S931"/>
      <c r="T931"/>
      <c r="U931"/>
    </row>
    <row r="932" spans="2:21" x14ac:dyDescent="0.2">
      <c r="B932"/>
      <c r="S932"/>
      <c r="T932"/>
      <c r="U932"/>
    </row>
    <row r="933" spans="2:21" x14ac:dyDescent="0.2">
      <c r="B933"/>
      <c r="S933"/>
      <c r="T933"/>
      <c r="U933"/>
    </row>
    <row r="934" spans="2:21" x14ac:dyDescent="0.2">
      <c r="B934"/>
      <c r="S934"/>
      <c r="T934"/>
      <c r="U934"/>
    </row>
    <row r="935" spans="2:21" x14ac:dyDescent="0.2">
      <c r="B935"/>
      <c r="S935"/>
      <c r="T935"/>
      <c r="U935"/>
    </row>
    <row r="936" spans="2:21" x14ac:dyDescent="0.2">
      <c r="B936"/>
      <c r="S936"/>
      <c r="T936"/>
      <c r="U936"/>
    </row>
    <row r="937" spans="2:21" x14ac:dyDescent="0.2">
      <c r="B937"/>
      <c r="S937"/>
      <c r="T937"/>
      <c r="U937"/>
    </row>
    <row r="938" spans="2:21" x14ac:dyDescent="0.2">
      <c r="B938"/>
      <c r="S938"/>
      <c r="T938"/>
      <c r="U938"/>
    </row>
    <row r="939" spans="2:21" x14ac:dyDescent="0.2">
      <c r="B939"/>
      <c r="S939"/>
      <c r="T939"/>
      <c r="U939"/>
    </row>
    <row r="940" spans="2:21" x14ac:dyDescent="0.2">
      <c r="B940"/>
      <c r="S940"/>
      <c r="T940"/>
      <c r="U940"/>
    </row>
    <row r="941" spans="2:21" x14ac:dyDescent="0.2">
      <c r="B941"/>
      <c r="S941"/>
      <c r="T941"/>
      <c r="U941"/>
    </row>
    <row r="942" spans="2:21" x14ac:dyDescent="0.2">
      <c r="B942"/>
      <c r="S942"/>
      <c r="T942"/>
      <c r="U942"/>
    </row>
    <row r="943" spans="2:21" x14ac:dyDescent="0.2">
      <c r="B943"/>
      <c r="S943"/>
      <c r="T943"/>
      <c r="U943"/>
    </row>
    <row r="944" spans="2:21" x14ac:dyDescent="0.2">
      <c r="B944"/>
      <c r="S944"/>
      <c r="T944"/>
      <c r="U944"/>
    </row>
    <row r="945" spans="2:21" x14ac:dyDescent="0.2">
      <c r="B945"/>
      <c r="S945"/>
      <c r="T945"/>
      <c r="U945"/>
    </row>
    <row r="946" spans="2:21" x14ac:dyDescent="0.2">
      <c r="B946"/>
      <c r="S946"/>
      <c r="T946"/>
      <c r="U946"/>
    </row>
    <row r="947" spans="2:21" x14ac:dyDescent="0.2">
      <c r="B947"/>
      <c r="S947"/>
      <c r="T947"/>
      <c r="U947"/>
    </row>
    <row r="948" spans="2:21" x14ac:dyDescent="0.2">
      <c r="B948"/>
      <c r="S948"/>
      <c r="T948"/>
      <c r="U948"/>
    </row>
    <row r="949" spans="2:21" x14ac:dyDescent="0.2">
      <c r="B949"/>
      <c r="S949"/>
      <c r="T949"/>
      <c r="U949"/>
    </row>
    <row r="950" spans="2:21" x14ac:dyDescent="0.2">
      <c r="B950"/>
      <c r="S950"/>
      <c r="T950"/>
      <c r="U950"/>
    </row>
    <row r="951" spans="2:21" x14ac:dyDescent="0.2">
      <c r="B951"/>
      <c r="S951"/>
      <c r="T951"/>
      <c r="U951"/>
    </row>
    <row r="952" spans="2:21" x14ac:dyDescent="0.2">
      <c r="B952"/>
      <c r="S952"/>
      <c r="T952"/>
      <c r="U952"/>
    </row>
    <row r="953" spans="2:21" x14ac:dyDescent="0.2">
      <c r="B953"/>
      <c r="S953"/>
      <c r="T953"/>
      <c r="U953"/>
    </row>
    <row r="954" spans="2:21" x14ac:dyDescent="0.2">
      <c r="B954"/>
      <c r="S954"/>
      <c r="T954"/>
      <c r="U954"/>
    </row>
    <row r="955" spans="2:21" x14ac:dyDescent="0.2">
      <c r="B955"/>
      <c r="S955"/>
      <c r="T955"/>
      <c r="U955"/>
    </row>
    <row r="956" spans="2:21" x14ac:dyDescent="0.2">
      <c r="B956"/>
      <c r="S956"/>
      <c r="T956"/>
      <c r="U956"/>
    </row>
    <row r="957" spans="2:21" x14ac:dyDescent="0.2">
      <c r="B957"/>
      <c r="S957"/>
      <c r="T957"/>
      <c r="U957"/>
    </row>
    <row r="958" spans="2:21" x14ac:dyDescent="0.2">
      <c r="B958"/>
      <c r="S958"/>
      <c r="T958"/>
      <c r="U958"/>
    </row>
    <row r="959" spans="2:21" x14ac:dyDescent="0.2">
      <c r="B959"/>
      <c r="S959"/>
      <c r="T959"/>
      <c r="U959"/>
    </row>
    <row r="960" spans="2:21" x14ac:dyDescent="0.2">
      <c r="B960"/>
      <c r="S960"/>
      <c r="T960"/>
      <c r="U960"/>
    </row>
    <row r="961" spans="2:21" x14ac:dyDescent="0.2">
      <c r="B961"/>
      <c r="S961"/>
      <c r="T961"/>
      <c r="U961"/>
    </row>
    <row r="962" spans="2:21" x14ac:dyDescent="0.2">
      <c r="B962"/>
      <c r="S962"/>
      <c r="T962"/>
      <c r="U962"/>
    </row>
    <row r="963" spans="2:21" x14ac:dyDescent="0.2">
      <c r="B963"/>
      <c r="S963"/>
      <c r="T963"/>
      <c r="U963"/>
    </row>
    <row r="964" spans="2:21" x14ac:dyDescent="0.2">
      <c r="B964"/>
      <c r="S964"/>
      <c r="T964"/>
      <c r="U964"/>
    </row>
    <row r="965" spans="2:21" x14ac:dyDescent="0.2">
      <c r="B965"/>
      <c r="S965"/>
      <c r="T965"/>
      <c r="U965"/>
    </row>
    <row r="966" spans="2:21" x14ac:dyDescent="0.2">
      <c r="B966"/>
      <c r="S966"/>
      <c r="T966"/>
      <c r="U966"/>
    </row>
    <row r="967" spans="2:21" x14ac:dyDescent="0.2">
      <c r="B967"/>
      <c r="S967"/>
      <c r="T967"/>
      <c r="U967"/>
    </row>
    <row r="968" spans="2:21" x14ac:dyDescent="0.2">
      <c r="B968"/>
      <c r="S968"/>
      <c r="T968"/>
      <c r="U968"/>
    </row>
    <row r="969" spans="2:21" x14ac:dyDescent="0.2">
      <c r="B969"/>
      <c r="S969"/>
      <c r="T969"/>
      <c r="U969"/>
    </row>
    <row r="970" spans="2:21" x14ac:dyDescent="0.2">
      <c r="B970"/>
      <c r="S970"/>
      <c r="T970"/>
      <c r="U970"/>
    </row>
    <row r="971" spans="2:21" x14ac:dyDescent="0.2">
      <c r="B971"/>
      <c r="S971"/>
      <c r="T971"/>
      <c r="U971"/>
    </row>
    <row r="972" spans="2:21" x14ac:dyDescent="0.2">
      <c r="B972"/>
      <c r="S972"/>
      <c r="T972"/>
      <c r="U972"/>
    </row>
    <row r="973" spans="2:21" x14ac:dyDescent="0.2">
      <c r="B973"/>
      <c r="S973"/>
      <c r="T973"/>
      <c r="U973"/>
    </row>
    <row r="974" spans="2:21" x14ac:dyDescent="0.2">
      <c r="B974"/>
      <c r="S974"/>
      <c r="T974"/>
      <c r="U974"/>
    </row>
    <row r="975" spans="2:21" x14ac:dyDescent="0.2">
      <c r="B975"/>
      <c r="S975"/>
      <c r="T975"/>
      <c r="U975"/>
    </row>
    <row r="976" spans="2:21" x14ac:dyDescent="0.2">
      <c r="B976"/>
      <c r="S976"/>
      <c r="T976"/>
      <c r="U976"/>
    </row>
    <row r="977" spans="2:21" x14ac:dyDescent="0.2">
      <c r="B977"/>
      <c r="S977"/>
      <c r="T977"/>
      <c r="U977"/>
    </row>
    <row r="978" spans="2:21" x14ac:dyDescent="0.2">
      <c r="B978"/>
      <c r="S978"/>
      <c r="T978"/>
      <c r="U978"/>
    </row>
    <row r="979" spans="2:21" x14ac:dyDescent="0.2">
      <c r="B979"/>
      <c r="S979"/>
      <c r="T979"/>
      <c r="U979"/>
    </row>
    <row r="980" spans="2:21" x14ac:dyDescent="0.2">
      <c r="B980"/>
      <c r="S980"/>
      <c r="T980"/>
      <c r="U980"/>
    </row>
    <row r="981" spans="2:21" x14ac:dyDescent="0.2">
      <c r="B981"/>
      <c r="S981"/>
      <c r="T981"/>
      <c r="U981"/>
    </row>
    <row r="982" spans="2:21" x14ac:dyDescent="0.2">
      <c r="B982"/>
      <c r="S982"/>
      <c r="T982"/>
      <c r="U982"/>
    </row>
    <row r="983" spans="2:21" x14ac:dyDescent="0.2">
      <c r="B983"/>
      <c r="S983"/>
      <c r="T983"/>
      <c r="U983"/>
    </row>
    <row r="984" spans="2:21" x14ac:dyDescent="0.2">
      <c r="B984"/>
      <c r="S984"/>
      <c r="T984"/>
      <c r="U984"/>
    </row>
    <row r="985" spans="2:21" x14ac:dyDescent="0.2">
      <c r="B985"/>
      <c r="S985"/>
      <c r="T985"/>
      <c r="U985"/>
    </row>
    <row r="986" spans="2:21" x14ac:dyDescent="0.2">
      <c r="B986"/>
      <c r="S986"/>
      <c r="T986"/>
      <c r="U986"/>
    </row>
    <row r="987" spans="2:21" x14ac:dyDescent="0.2">
      <c r="B987"/>
      <c r="S987"/>
      <c r="T987"/>
      <c r="U987"/>
    </row>
    <row r="988" spans="2:21" x14ac:dyDescent="0.2">
      <c r="B988"/>
      <c r="S988"/>
      <c r="T988"/>
      <c r="U988"/>
    </row>
    <row r="989" spans="2:21" x14ac:dyDescent="0.2">
      <c r="B989"/>
      <c r="S989"/>
      <c r="T989"/>
      <c r="U989"/>
    </row>
    <row r="990" spans="2:21" x14ac:dyDescent="0.2">
      <c r="B990"/>
      <c r="S990"/>
      <c r="T990"/>
      <c r="U990"/>
    </row>
    <row r="991" spans="2:21" x14ac:dyDescent="0.2">
      <c r="B991"/>
      <c r="S991"/>
      <c r="T991"/>
      <c r="U991"/>
    </row>
    <row r="992" spans="2:21" x14ac:dyDescent="0.2">
      <c r="B992"/>
      <c r="S992"/>
      <c r="T992"/>
      <c r="U992"/>
    </row>
    <row r="993" spans="2:21" x14ac:dyDescent="0.2">
      <c r="B993"/>
      <c r="S993"/>
      <c r="T993"/>
      <c r="U993"/>
    </row>
    <row r="994" spans="2:21" x14ac:dyDescent="0.2">
      <c r="B994"/>
      <c r="S994"/>
      <c r="T994"/>
      <c r="U994"/>
    </row>
    <row r="995" spans="2:21" x14ac:dyDescent="0.2">
      <c r="B995"/>
      <c r="S995"/>
      <c r="T995"/>
      <c r="U995"/>
    </row>
    <row r="996" spans="2:21" x14ac:dyDescent="0.2">
      <c r="B996"/>
      <c r="S996"/>
      <c r="T996"/>
      <c r="U996"/>
    </row>
    <row r="997" spans="2:21" x14ac:dyDescent="0.2">
      <c r="B997"/>
      <c r="S997"/>
      <c r="T997"/>
      <c r="U997"/>
    </row>
    <row r="998" spans="2:21" x14ac:dyDescent="0.2">
      <c r="B998"/>
      <c r="S998"/>
      <c r="T998"/>
      <c r="U998"/>
    </row>
    <row r="999" spans="2:21" x14ac:dyDescent="0.2">
      <c r="B999"/>
      <c r="S999"/>
      <c r="T999"/>
      <c r="U999"/>
    </row>
    <row r="1000" spans="2:21" x14ac:dyDescent="0.2">
      <c r="B1000"/>
      <c r="S1000"/>
      <c r="T1000"/>
      <c r="U1000"/>
    </row>
    <row r="1001" spans="2:21" x14ac:dyDescent="0.2">
      <c r="B1001"/>
      <c r="S1001"/>
      <c r="T1001"/>
      <c r="U1001"/>
    </row>
    <row r="1002" spans="2:21" x14ac:dyDescent="0.2">
      <c r="B1002"/>
      <c r="S1002"/>
      <c r="T1002"/>
      <c r="U1002"/>
    </row>
    <row r="1003" spans="2:21" x14ac:dyDescent="0.2">
      <c r="B1003"/>
      <c r="S1003"/>
      <c r="T1003"/>
      <c r="U1003"/>
    </row>
    <row r="1004" spans="2:21" x14ac:dyDescent="0.2">
      <c r="B1004"/>
      <c r="S1004"/>
      <c r="T1004"/>
      <c r="U1004"/>
    </row>
    <row r="1005" spans="2:21" x14ac:dyDescent="0.2">
      <c r="B1005"/>
      <c r="S1005"/>
      <c r="T1005"/>
      <c r="U1005"/>
    </row>
    <row r="1006" spans="2:21" x14ac:dyDescent="0.2">
      <c r="B1006"/>
      <c r="S1006"/>
      <c r="T1006"/>
      <c r="U1006"/>
    </row>
    <row r="1007" spans="2:21" x14ac:dyDescent="0.2">
      <c r="B1007"/>
      <c r="S1007"/>
      <c r="T1007"/>
      <c r="U1007"/>
    </row>
    <row r="1008" spans="2:21" x14ac:dyDescent="0.2">
      <c r="B1008"/>
      <c r="S1008"/>
      <c r="T1008"/>
      <c r="U1008"/>
    </row>
    <row r="1009" spans="2:21" x14ac:dyDescent="0.2">
      <c r="B1009"/>
      <c r="S1009"/>
      <c r="T1009"/>
      <c r="U1009"/>
    </row>
    <row r="1010" spans="2:21" x14ac:dyDescent="0.2">
      <c r="B1010"/>
      <c r="S1010"/>
      <c r="T1010"/>
      <c r="U1010"/>
    </row>
    <row r="1011" spans="2:21" x14ac:dyDescent="0.2">
      <c r="B1011"/>
      <c r="S1011"/>
      <c r="T1011"/>
      <c r="U1011"/>
    </row>
    <row r="1012" spans="2:21" x14ac:dyDescent="0.2">
      <c r="B1012"/>
      <c r="S1012"/>
      <c r="T1012"/>
      <c r="U1012"/>
    </row>
    <row r="1013" spans="2:21" x14ac:dyDescent="0.2">
      <c r="B1013"/>
      <c r="S1013"/>
      <c r="T1013"/>
      <c r="U1013"/>
    </row>
    <row r="1014" spans="2:21" x14ac:dyDescent="0.2">
      <c r="B1014"/>
      <c r="S1014"/>
      <c r="T1014"/>
      <c r="U1014"/>
    </row>
    <row r="1015" spans="2:21" x14ac:dyDescent="0.2">
      <c r="B1015"/>
      <c r="S1015"/>
      <c r="T1015"/>
      <c r="U1015"/>
    </row>
    <row r="1016" spans="2:21" x14ac:dyDescent="0.2">
      <c r="B1016"/>
      <c r="S1016"/>
      <c r="T1016"/>
      <c r="U1016"/>
    </row>
    <row r="1017" spans="2:21" x14ac:dyDescent="0.2">
      <c r="B1017"/>
      <c r="S1017"/>
      <c r="T1017"/>
      <c r="U1017"/>
    </row>
    <row r="1018" spans="2:21" x14ac:dyDescent="0.2">
      <c r="B1018"/>
      <c r="S1018"/>
      <c r="T1018"/>
      <c r="U1018"/>
    </row>
    <row r="1019" spans="2:21" x14ac:dyDescent="0.2">
      <c r="B1019"/>
      <c r="S1019"/>
      <c r="T1019"/>
      <c r="U1019"/>
    </row>
    <row r="1020" spans="2:21" x14ac:dyDescent="0.2">
      <c r="B1020"/>
      <c r="S1020"/>
      <c r="T1020"/>
      <c r="U1020"/>
    </row>
    <row r="1021" spans="2:21" x14ac:dyDescent="0.2">
      <c r="B1021"/>
      <c r="S1021"/>
      <c r="T1021"/>
      <c r="U1021"/>
    </row>
    <row r="1022" spans="2:21" x14ac:dyDescent="0.2">
      <c r="B1022"/>
      <c r="S1022"/>
      <c r="T1022"/>
      <c r="U1022"/>
    </row>
    <row r="1023" spans="2:21" x14ac:dyDescent="0.2">
      <c r="B1023"/>
      <c r="S1023"/>
      <c r="T1023"/>
      <c r="U1023"/>
    </row>
    <row r="1024" spans="2:21" x14ac:dyDescent="0.2">
      <c r="B1024"/>
      <c r="S1024"/>
      <c r="T1024"/>
      <c r="U1024"/>
    </row>
    <row r="1025" spans="2:21" x14ac:dyDescent="0.2">
      <c r="B1025"/>
      <c r="S1025"/>
      <c r="T1025"/>
      <c r="U1025"/>
    </row>
    <row r="1026" spans="2:21" x14ac:dyDescent="0.2">
      <c r="B1026"/>
      <c r="S1026"/>
      <c r="T1026"/>
      <c r="U1026"/>
    </row>
    <row r="1027" spans="2:21" x14ac:dyDescent="0.2">
      <c r="B1027"/>
      <c r="S1027"/>
      <c r="T1027"/>
      <c r="U1027"/>
    </row>
    <row r="1028" spans="2:21" x14ac:dyDescent="0.2">
      <c r="B1028"/>
      <c r="S1028"/>
      <c r="T1028"/>
      <c r="U1028"/>
    </row>
    <row r="1029" spans="2:21" x14ac:dyDescent="0.2">
      <c r="B1029"/>
      <c r="S1029"/>
      <c r="T1029"/>
      <c r="U1029"/>
    </row>
    <row r="1030" spans="2:21" x14ac:dyDescent="0.2">
      <c r="B1030"/>
      <c r="S1030"/>
      <c r="T1030"/>
      <c r="U1030"/>
    </row>
    <row r="1031" spans="2:21" x14ac:dyDescent="0.2">
      <c r="B1031"/>
      <c r="S1031"/>
      <c r="T1031"/>
      <c r="U1031"/>
    </row>
    <row r="1032" spans="2:21" x14ac:dyDescent="0.2">
      <c r="B1032"/>
      <c r="S1032"/>
      <c r="T1032"/>
      <c r="U1032"/>
    </row>
    <row r="1033" spans="2:21" x14ac:dyDescent="0.2">
      <c r="B1033"/>
      <c r="S1033"/>
      <c r="T1033"/>
      <c r="U1033"/>
    </row>
    <row r="1034" spans="2:21" x14ac:dyDescent="0.2">
      <c r="B1034"/>
      <c r="S1034"/>
      <c r="T1034"/>
      <c r="U1034"/>
    </row>
    <row r="1035" spans="2:21" x14ac:dyDescent="0.2">
      <c r="B1035"/>
      <c r="S1035"/>
      <c r="T1035"/>
      <c r="U1035"/>
    </row>
    <row r="1036" spans="2:21" x14ac:dyDescent="0.2">
      <c r="B1036"/>
      <c r="S1036"/>
      <c r="T1036"/>
      <c r="U1036"/>
    </row>
    <row r="1037" spans="2:21" x14ac:dyDescent="0.2">
      <c r="B1037"/>
      <c r="S1037"/>
      <c r="T1037"/>
      <c r="U1037"/>
    </row>
    <row r="1038" spans="2:21" x14ac:dyDescent="0.2">
      <c r="B1038"/>
      <c r="S1038"/>
      <c r="T1038"/>
      <c r="U1038"/>
    </row>
    <row r="1039" spans="2:21" x14ac:dyDescent="0.2">
      <c r="B1039"/>
      <c r="S1039"/>
      <c r="T1039"/>
      <c r="U1039"/>
    </row>
    <row r="1040" spans="2:21" x14ac:dyDescent="0.2">
      <c r="B1040"/>
      <c r="S1040"/>
      <c r="T1040"/>
      <c r="U1040"/>
    </row>
    <row r="1041" spans="2:21" x14ac:dyDescent="0.2">
      <c r="B1041"/>
      <c r="S1041"/>
      <c r="T1041"/>
      <c r="U1041"/>
    </row>
    <row r="1042" spans="2:21" x14ac:dyDescent="0.2">
      <c r="B1042"/>
      <c r="S1042"/>
      <c r="T1042"/>
      <c r="U1042"/>
    </row>
    <row r="1043" spans="2:21" x14ac:dyDescent="0.2">
      <c r="B1043"/>
      <c r="S1043"/>
      <c r="T1043"/>
      <c r="U1043"/>
    </row>
    <row r="1044" spans="2:21" x14ac:dyDescent="0.2">
      <c r="B1044"/>
      <c r="S1044"/>
      <c r="T1044"/>
      <c r="U1044"/>
    </row>
    <row r="1045" spans="2:21" x14ac:dyDescent="0.2">
      <c r="B1045"/>
      <c r="S1045"/>
      <c r="T1045"/>
      <c r="U1045"/>
    </row>
    <row r="1046" spans="2:21" x14ac:dyDescent="0.2">
      <c r="B1046"/>
      <c r="S1046"/>
      <c r="T1046"/>
      <c r="U1046"/>
    </row>
    <row r="1047" spans="2:21" x14ac:dyDescent="0.2">
      <c r="B1047"/>
      <c r="S1047"/>
      <c r="T1047"/>
      <c r="U1047"/>
    </row>
    <row r="1048" spans="2:21" x14ac:dyDescent="0.2">
      <c r="B1048"/>
      <c r="S1048"/>
      <c r="T1048"/>
      <c r="U1048"/>
    </row>
    <row r="1049" spans="2:21" x14ac:dyDescent="0.2">
      <c r="B1049"/>
      <c r="S1049"/>
      <c r="T1049"/>
      <c r="U1049"/>
    </row>
    <row r="1050" spans="2:21" x14ac:dyDescent="0.2">
      <c r="B1050"/>
      <c r="S1050"/>
      <c r="T1050"/>
      <c r="U1050"/>
    </row>
    <row r="1051" spans="2:21" x14ac:dyDescent="0.2">
      <c r="B1051"/>
      <c r="S1051"/>
      <c r="T1051"/>
      <c r="U1051"/>
    </row>
    <row r="1052" spans="2:21" x14ac:dyDescent="0.2">
      <c r="B1052"/>
      <c r="S1052"/>
      <c r="T1052"/>
      <c r="U1052"/>
    </row>
    <row r="1053" spans="2:21" x14ac:dyDescent="0.2">
      <c r="B1053"/>
      <c r="S1053"/>
      <c r="T1053"/>
      <c r="U1053"/>
    </row>
    <row r="1054" spans="2:21" x14ac:dyDescent="0.2">
      <c r="B1054"/>
      <c r="S1054"/>
      <c r="T1054"/>
      <c r="U1054"/>
    </row>
    <row r="1055" spans="2:21" x14ac:dyDescent="0.2">
      <c r="B1055"/>
      <c r="S1055"/>
      <c r="T1055"/>
      <c r="U1055"/>
    </row>
    <row r="1056" spans="2:21" x14ac:dyDescent="0.2">
      <c r="B1056"/>
      <c r="S1056"/>
      <c r="T1056"/>
      <c r="U1056"/>
    </row>
    <row r="1057" spans="2:21" x14ac:dyDescent="0.2">
      <c r="B1057"/>
      <c r="S1057"/>
      <c r="T1057"/>
      <c r="U1057"/>
    </row>
    <row r="1058" spans="2:21" x14ac:dyDescent="0.2">
      <c r="B1058"/>
      <c r="S1058"/>
      <c r="T1058"/>
      <c r="U1058"/>
    </row>
    <row r="1059" spans="2:21" x14ac:dyDescent="0.2">
      <c r="B1059"/>
      <c r="S1059"/>
      <c r="T1059"/>
      <c r="U1059"/>
    </row>
    <row r="1060" spans="2:21" x14ac:dyDescent="0.2">
      <c r="B1060"/>
      <c r="S1060"/>
      <c r="T1060"/>
      <c r="U1060"/>
    </row>
    <row r="1061" spans="2:21" x14ac:dyDescent="0.2">
      <c r="B1061"/>
      <c r="S1061"/>
      <c r="T1061"/>
      <c r="U1061"/>
    </row>
    <row r="1062" spans="2:21" x14ac:dyDescent="0.2">
      <c r="B1062"/>
      <c r="S1062"/>
      <c r="T1062"/>
      <c r="U1062"/>
    </row>
    <row r="1063" spans="2:21" x14ac:dyDescent="0.2">
      <c r="B1063"/>
      <c r="S1063"/>
      <c r="T1063"/>
      <c r="U1063"/>
    </row>
    <row r="1064" spans="2:21" x14ac:dyDescent="0.2">
      <c r="B1064"/>
      <c r="S1064"/>
      <c r="T1064"/>
      <c r="U1064"/>
    </row>
    <row r="1065" spans="2:21" x14ac:dyDescent="0.2">
      <c r="B1065"/>
      <c r="S1065"/>
      <c r="T1065"/>
      <c r="U1065"/>
    </row>
    <row r="1066" spans="2:21" x14ac:dyDescent="0.2">
      <c r="B1066"/>
      <c r="S1066"/>
      <c r="T1066"/>
      <c r="U1066"/>
    </row>
    <row r="1067" spans="2:21" x14ac:dyDescent="0.2">
      <c r="B1067"/>
      <c r="S1067"/>
      <c r="T1067"/>
      <c r="U1067"/>
    </row>
    <row r="1068" spans="2:21" x14ac:dyDescent="0.2">
      <c r="B1068"/>
      <c r="S1068"/>
      <c r="T1068"/>
      <c r="U1068"/>
    </row>
    <row r="1069" spans="2:21" x14ac:dyDescent="0.2">
      <c r="B1069"/>
      <c r="S1069"/>
      <c r="T1069"/>
      <c r="U1069"/>
    </row>
    <row r="1070" spans="2:21" x14ac:dyDescent="0.2">
      <c r="B1070"/>
      <c r="S1070"/>
      <c r="T1070"/>
      <c r="U1070"/>
    </row>
    <row r="1071" spans="2:21" x14ac:dyDescent="0.2">
      <c r="B1071"/>
      <c r="S1071"/>
      <c r="T1071"/>
      <c r="U1071"/>
    </row>
    <row r="1072" spans="2:21" x14ac:dyDescent="0.2">
      <c r="B1072"/>
      <c r="S1072"/>
      <c r="T1072"/>
      <c r="U1072"/>
    </row>
    <row r="1073" spans="2:21" x14ac:dyDescent="0.2">
      <c r="B1073"/>
      <c r="S1073"/>
      <c r="T1073"/>
      <c r="U1073"/>
    </row>
    <row r="1074" spans="2:21" x14ac:dyDescent="0.2">
      <c r="B1074"/>
      <c r="S1074"/>
      <c r="T1074"/>
      <c r="U1074"/>
    </row>
    <row r="1075" spans="2:21" x14ac:dyDescent="0.2">
      <c r="B1075"/>
      <c r="S1075"/>
      <c r="T1075"/>
      <c r="U1075"/>
    </row>
    <row r="1076" spans="2:21" x14ac:dyDescent="0.2">
      <c r="B1076"/>
      <c r="S1076"/>
      <c r="T1076"/>
      <c r="U1076"/>
    </row>
    <row r="1077" spans="2:21" x14ac:dyDescent="0.2">
      <c r="B1077"/>
      <c r="S1077"/>
      <c r="T1077"/>
      <c r="U1077"/>
    </row>
    <row r="1078" spans="2:21" x14ac:dyDescent="0.2">
      <c r="B1078"/>
      <c r="S1078"/>
      <c r="T1078"/>
      <c r="U1078"/>
    </row>
    <row r="1079" spans="2:21" x14ac:dyDescent="0.2">
      <c r="B1079"/>
      <c r="S1079"/>
      <c r="T1079"/>
      <c r="U1079"/>
    </row>
    <row r="1080" spans="2:21" x14ac:dyDescent="0.2">
      <c r="B1080"/>
      <c r="S1080"/>
      <c r="T1080"/>
      <c r="U1080"/>
    </row>
    <row r="1081" spans="2:21" x14ac:dyDescent="0.2">
      <c r="B1081"/>
      <c r="S1081"/>
      <c r="T1081"/>
      <c r="U1081"/>
    </row>
    <row r="1082" spans="2:21" x14ac:dyDescent="0.2">
      <c r="B1082"/>
      <c r="S1082"/>
      <c r="T1082"/>
      <c r="U1082"/>
    </row>
    <row r="1083" spans="2:21" x14ac:dyDescent="0.2">
      <c r="B1083"/>
      <c r="S1083"/>
      <c r="T1083"/>
      <c r="U1083"/>
    </row>
    <row r="1084" spans="2:21" x14ac:dyDescent="0.2">
      <c r="B1084"/>
      <c r="S1084"/>
      <c r="T1084"/>
      <c r="U1084"/>
    </row>
    <row r="1085" spans="2:21" x14ac:dyDescent="0.2">
      <c r="B1085"/>
      <c r="S1085"/>
      <c r="T1085"/>
      <c r="U1085"/>
    </row>
    <row r="1086" spans="2:21" x14ac:dyDescent="0.2">
      <c r="B1086"/>
      <c r="S1086"/>
      <c r="T1086"/>
      <c r="U1086"/>
    </row>
    <row r="1087" spans="2:21" x14ac:dyDescent="0.2">
      <c r="B1087"/>
      <c r="S1087"/>
      <c r="T1087"/>
      <c r="U1087"/>
    </row>
    <row r="1088" spans="2:21" x14ac:dyDescent="0.2">
      <c r="B1088"/>
      <c r="S1088"/>
      <c r="T1088"/>
      <c r="U1088"/>
    </row>
    <row r="1089" spans="2:21" x14ac:dyDescent="0.2">
      <c r="B1089"/>
      <c r="S1089"/>
      <c r="T1089"/>
      <c r="U1089"/>
    </row>
    <row r="1090" spans="2:21" x14ac:dyDescent="0.2">
      <c r="B1090"/>
      <c r="S1090"/>
      <c r="T1090"/>
      <c r="U1090"/>
    </row>
    <row r="1091" spans="2:21" x14ac:dyDescent="0.2">
      <c r="B1091"/>
      <c r="S1091"/>
      <c r="T1091"/>
      <c r="U1091"/>
    </row>
    <row r="1092" spans="2:21" x14ac:dyDescent="0.2">
      <c r="B1092"/>
      <c r="S1092"/>
      <c r="T1092"/>
      <c r="U1092"/>
    </row>
    <row r="1093" spans="2:21" x14ac:dyDescent="0.2">
      <c r="B1093"/>
      <c r="S1093"/>
      <c r="T1093"/>
      <c r="U1093"/>
    </row>
    <row r="1094" spans="2:21" x14ac:dyDescent="0.2">
      <c r="B1094"/>
      <c r="S1094"/>
      <c r="T1094"/>
      <c r="U1094"/>
    </row>
    <row r="1095" spans="2:21" x14ac:dyDescent="0.2">
      <c r="B1095"/>
      <c r="S1095"/>
      <c r="T1095"/>
      <c r="U1095"/>
    </row>
    <row r="1096" spans="2:21" x14ac:dyDescent="0.2">
      <c r="B1096"/>
      <c r="S1096"/>
      <c r="T1096"/>
      <c r="U1096"/>
    </row>
    <row r="1097" spans="2:21" x14ac:dyDescent="0.2">
      <c r="B1097"/>
      <c r="S1097"/>
      <c r="T1097"/>
      <c r="U1097"/>
    </row>
    <row r="1098" spans="2:21" x14ac:dyDescent="0.2">
      <c r="B1098"/>
      <c r="S1098"/>
      <c r="T1098"/>
      <c r="U1098"/>
    </row>
    <row r="1099" spans="2:21" x14ac:dyDescent="0.2">
      <c r="B1099"/>
      <c r="S1099"/>
      <c r="T1099"/>
      <c r="U1099"/>
    </row>
    <row r="1100" spans="2:21" x14ac:dyDescent="0.2">
      <c r="B1100"/>
      <c r="S1100"/>
      <c r="T1100"/>
      <c r="U1100"/>
    </row>
    <row r="1101" spans="2:21" x14ac:dyDescent="0.2">
      <c r="B1101"/>
      <c r="S1101"/>
      <c r="T1101"/>
      <c r="U1101"/>
    </row>
    <row r="1102" spans="2:21" x14ac:dyDescent="0.2">
      <c r="B1102"/>
      <c r="S1102"/>
      <c r="T1102"/>
      <c r="U1102"/>
    </row>
    <row r="1103" spans="2:21" x14ac:dyDescent="0.2">
      <c r="B1103"/>
      <c r="S1103"/>
      <c r="T1103"/>
      <c r="U1103"/>
    </row>
    <row r="1104" spans="2:21" x14ac:dyDescent="0.2">
      <c r="B1104"/>
      <c r="S1104"/>
      <c r="T1104"/>
      <c r="U1104"/>
    </row>
    <row r="1105" spans="2:21" x14ac:dyDescent="0.2">
      <c r="B1105"/>
      <c r="S1105"/>
      <c r="T1105"/>
      <c r="U1105"/>
    </row>
    <row r="1106" spans="2:21" x14ac:dyDescent="0.2">
      <c r="B1106"/>
      <c r="S1106"/>
      <c r="T1106"/>
      <c r="U1106"/>
    </row>
    <row r="1107" spans="2:21" x14ac:dyDescent="0.2">
      <c r="B1107"/>
      <c r="S1107"/>
      <c r="T1107"/>
      <c r="U1107"/>
    </row>
    <row r="1108" spans="2:21" x14ac:dyDescent="0.2">
      <c r="B1108"/>
      <c r="S1108"/>
      <c r="T1108"/>
      <c r="U1108"/>
    </row>
    <row r="1109" spans="2:21" x14ac:dyDescent="0.2">
      <c r="B1109"/>
      <c r="S1109"/>
      <c r="T1109"/>
      <c r="U1109"/>
    </row>
    <row r="1110" spans="2:21" x14ac:dyDescent="0.2">
      <c r="B1110"/>
      <c r="S1110"/>
      <c r="T1110"/>
      <c r="U1110"/>
    </row>
    <row r="1111" spans="2:21" x14ac:dyDescent="0.2">
      <c r="B1111"/>
      <c r="S1111"/>
      <c r="T1111"/>
      <c r="U1111"/>
    </row>
    <row r="1112" spans="2:21" x14ac:dyDescent="0.2">
      <c r="B1112"/>
      <c r="S1112"/>
      <c r="T1112"/>
      <c r="U1112"/>
    </row>
    <row r="1113" spans="2:21" x14ac:dyDescent="0.2">
      <c r="B1113"/>
      <c r="S1113"/>
      <c r="T1113"/>
      <c r="U1113"/>
    </row>
    <row r="1114" spans="2:21" x14ac:dyDescent="0.2">
      <c r="B1114"/>
      <c r="S1114"/>
      <c r="T1114"/>
      <c r="U1114"/>
    </row>
    <row r="1115" spans="2:21" x14ac:dyDescent="0.2">
      <c r="B1115"/>
      <c r="S1115"/>
      <c r="T1115"/>
      <c r="U1115"/>
    </row>
    <row r="1116" spans="2:21" x14ac:dyDescent="0.2">
      <c r="B1116"/>
      <c r="S1116"/>
      <c r="T1116"/>
      <c r="U1116"/>
    </row>
    <row r="1117" spans="2:21" x14ac:dyDescent="0.2">
      <c r="B1117"/>
      <c r="S1117"/>
      <c r="T1117"/>
      <c r="U1117"/>
    </row>
    <row r="1118" spans="2:21" x14ac:dyDescent="0.2">
      <c r="B1118"/>
      <c r="S1118"/>
      <c r="T1118"/>
      <c r="U1118"/>
    </row>
    <row r="1119" spans="2:21" x14ac:dyDescent="0.2">
      <c r="B1119"/>
      <c r="S1119"/>
      <c r="T1119"/>
      <c r="U1119"/>
    </row>
    <row r="1120" spans="2:21" x14ac:dyDescent="0.2">
      <c r="B1120"/>
      <c r="S1120"/>
      <c r="T1120"/>
      <c r="U1120"/>
    </row>
    <row r="1121" spans="2:21" x14ac:dyDescent="0.2">
      <c r="B1121"/>
      <c r="S1121"/>
      <c r="T1121"/>
      <c r="U1121"/>
    </row>
    <row r="1122" spans="2:21" x14ac:dyDescent="0.2">
      <c r="B1122"/>
      <c r="S1122"/>
      <c r="T1122"/>
      <c r="U1122"/>
    </row>
    <row r="1123" spans="2:21" x14ac:dyDescent="0.2">
      <c r="B1123"/>
      <c r="S1123"/>
      <c r="T1123"/>
      <c r="U1123"/>
    </row>
    <row r="1124" spans="2:21" x14ac:dyDescent="0.2">
      <c r="B1124"/>
      <c r="S1124"/>
      <c r="T1124"/>
      <c r="U1124"/>
    </row>
    <row r="1125" spans="2:21" x14ac:dyDescent="0.2">
      <c r="B1125"/>
      <c r="S1125"/>
      <c r="T1125"/>
      <c r="U1125"/>
    </row>
    <row r="1126" spans="2:21" x14ac:dyDescent="0.2">
      <c r="B1126"/>
      <c r="S1126"/>
      <c r="T1126"/>
      <c r="U1126"/>
    </row>
    <row r="1127" spans="2:21" x14ac:dyDescent="0.2">
      <c r="B1127"/>
      <c r="S1127"/>
      <c r="T1127"/>
      <c r="U1127"/>
    </row>
    <row r="1128" spans="2:21" x14ac:dyDescent="0.2">
      <c r="B1128"/>
      <c r="S1128"/>
      <c r="T1128"/>
      <c r="U1128"/>
    </row>
    <row r="1129" spans="2:21" x14ac:dyDescent="0.2">
      <c r="B1129"/>
      <c r="S1129"/>
      <c r="T1129"/>
      <c r="U1129"/>
    </row>
    <row r="1130" spans="2:21" x14ac:dyDescent="0.2">
      <c r="B1130"/>
      <c r="S1130"/>
      <c r="T1130"/>
      <c r="U1130"/>
    </row>
    <row r="1131" spans="2:21" x14ac:dyDescent="0.2">
      <c r="B1131"/>
      <c r="S1131"/>
      <c r="T1131"/>
      <c r="U1131"/>
    </row>
    <row r="1132" spans="2:21" x14ac:dyDescent="0.2">
      <c r="B1132"/>
      <c r="S1132"/>
      <c r="T1132"/>
      <c r="U1132"/>
    </row>
    <row r="1133" spans="2:21" x14ac:dyDescent="0.2">
      <c r="B1133"/>
      <c r="S1133"/>
      <c r="T1133"/>
      <c r="U1133"/>
    </row>
    <row r="1134" spans="2:21" x14ac:dyDescent="0.2">
      <c r="B1134"/>
      <c r="S1134"/>
      <c r="T1134"/>
      <c r="U1134"/>
    </row>
    <row r="1135" spans="2:21" x14ac:dyDescent="0.2">
      <c r="B1135"/>
      <c r="S1135"/>
      <c r="T1135"/>
      <c r="U1135"/>
    </row>
    <row r="1136" spans="2:21" x14ac:dyDescent="0.2">
      <c r="B1136"/>
      <c r="S1136"/>
      <c r="T1136"/>
      <c r="U1136"/>
    </row>
    <row r="1137" spans="2:21" x14ac:dyDescent="0.2">
      <c r="B1137"/>
      <c r="S1137"/>
      <c r="T1137"/>
      <c r="U1137"/>
    </row>
    <row r="1138" spans="2:21" x14ac:dyDescent="0.2">
      <c r="B1138"/>
      <c r="S1138"/>
      <c r="T1138"/>
      <c r="U1138"/>
    </row>
    <row r="1139" spans="2:21" x14ac:dyDescent="0.2">
      <c r="B1139"/>
      <c r="S1139"/>
      <c r="T1139"/>
      <c r="U1139"/>
    </row>
    <row r="1140" spans="2:21" x14ac:dyDescent="0.2">
      <c r="B1140"/>
      <c r="S1140"/>
      <c r="T1140"/>
      <c r="U1140"/>
    </row>
    <row r="1141" spans="2:21" x14ac:dyDescent="0.2">
      <c r="B1141"/>
      <c r="S1141"/>
      <c r="T1141"/>
      <c r="U1141"/>
    </row>
    <row r="1142" spans="2:21" x14ac:dyDescent="0.2">
      <c r="B1142"/>
      <c r="S1142"/>
      <c r="T1142"/>
      <c r="U1142"/>
    </row>
    <row r="1143" spans="2:21" x14ac:dyDescent="0.2">
      <c r="B1143"/>
      <c r="S1143"/>
      <c r="T1143"/>
      <c r="U1143"/>
    </row>
    <row r="1144" spans="2:21" x14ac:dyDescent="0.2">
      <c r="B1144"/>
      <c r="S1144"/>
      <c r="T1144"/>
      <c r="U1144"/>
    </row>
    <row r="1145" spans="2:21" x14ac:dyDescent="0.2">
      <c r="B1145"/>
      <c r="S1145"/>
      <c r="T1145"/>
      <c r="U1145"/>
    </row>
    <row r="1146" spans="2:21" x14ac:dyDescent="0.2">
      <c r="B1146"/>
      <c r="S1146"/>
      <c r="T1146"/>
      <c r="U1146"/>
    </row>
    <row r="1147" spans="2:21" x14ac:dyDescent="0.2">
      <c r="B1147"/>
      <c r="S1147"/>
      <c r="T1147"/>
      <c r="U1147"/>
    </row>
    <row r="1148" spans="2:21" x14ac:dyDescent="0.2">
      <c r="B1148"/>
      <c r="S1148"/>
      <c r="T1148"/>
      <c r="U1148"/>
    </row>
    <row r="1149" spans="2:21" x14ac:dyDescent="0.2">
      <c r="B1149"/>
      <c r="S1149"/>
      <c r="T1149"/>
      <c r="U1149"/>
    </row>
    <row r="1150" spans="2:21" x14ac:dyDescent="0.2">
      <c r="B1150"/>
      <c r="S1150"/>
      <c r="T1150"/>
      <c r="U1150"/>
    </row>
    <row r="1151" spans="2:21" x14ac:dyDescent="0.2">
      <c r="B1151"/>
      <c r="S1151"/>
      <c r="T1151"/>
      <c r="U1151"/>
    </row>
    <row r="1152" spans="2:21" x14ac:dyDescent="0.2">
      <c r="B1152"/>
      <c r="S1152"/>
      <c r="T1152"/>
      <c r="U1152"/>
    </row>
    <row r="1153" spans="2:21" x14ac:dyDescent="0.2">
      <c r="B1153"/>
      <c r="S1153"/>
      <c r="T1153"/>
      <c r="U1153"/>
    </row>
    <row r="1154" spans="2:21" x14ac:dyDescent="0.2">
      <c r="B1154"/>
      <c r="S1154"/>
      <c r="T1154"/>
      <c r="U1154"/>
    </row>
    <row r="1155" spans="2:21" x14ac:dyDescent="0.2">
      <c r="B1155"/>
      <c r="S1155"/>
      <c r="T1155"/>
      <c r="U1155"/>
    </row>
    <row r="1156" spans="2:21" x14ac:dyDescent="0.2">
      <c r="B1156"/>
      <c r="S1156"/>
      <c r="T1156"/>
      <c r="U1156"/>
    </row>
    <row r="1157" spans="2:21" x14ac:dyDescent="0.2">
      <c r="B1157"/>
      <c r="S1157"/>
      <c r="T1157"/>
      <c r="U1157"/>
    </row>
    <row r="1158" spans="2:21" x14ac:dyDescent="0.2">
      <c r="B1158"/>
      <c r="S1158"/>
      <c r="T1158"/>
      <c r="U1158"/>
    </row>
    <row r="1159" spans="2:21" x14ac:dyDescent="0.2">
      <c r="B1159"/>
      <c r="S1159"/>
      <c r="T1159"/>
      <c r="U1159"/>
    </row>
    <row r="1160" spans="2:21" x14ac:dyDescent="0.2">
      <c r="B1160"/>
      <c r="S1160"/>
      <c r="T1160"/>
      <c r="U1160"/>
    </row>
    <row r="1161" spans="2:21" x14ac:dyDescent="0.2">
      <c r="B1161"/>
      <c r="S1161"/>
      <c r="T1161"/>
      <c r="U1161"/>
    </row>
    <row r="1162" spans="2:21" x14ac:dyDescent="0.2">
      <c r="B1162"/>
      <c r="S1162"/>
      <c r="T1162"/>
      <c r="U1162"/>
    </row>
    <row r="1163" spans="2:21" x14ac:dyDescent="0.2">
      <c r="B1163"/>
      <c r="S1163"/>
      <c r="T1163"/>
      <c r="U1163"/>
    </row>
    <row r="1164" spans="2:21" x14ac:dyDescent="0.2">
      <c r="B1164"/>
      <c r="S1164"/>
      <c r="T1164"/>
      <c r="U1164"/>
    </row>
    <row r="1165" spans="2:21" x14ac:dyDescent="0.2">
      <c r="B1165"/>
      <c r="S1165"/>
      <c r="T1165"/>
      <c r="U1165"/>
    </row>
    <row r="1166" spans="2:21" x14ac:dyDescent="0.2">
      <c r="B1166"/>
      <c r="S1166"/>
      <c r="T1166"/>
      <c r="U1166"/>
    </row>
    <row r="1167" spans="2:21" x14ac:dyDescent="0.2">
      <c r="B1167"/>
      <c r="S1167"/>
      <c r="T1167"/>
      <c r="U1167"/>
    </row>
    <row r="1168" spans="2:21" x14ac:dyDescent="0.2">
      <c r="B1168"/>
      <c r="S1168"/>
      <c r="T1168"/>
      <c r="U1168"/>
    </row>
    <row r="1169" spans="2:21" x14ac:dyDescent="0.2">
      <c r="B1169"/>
      <c r="S1169"/>
      <c r="T1169"/>
      <c r="U1169"/>
    </row>
    <row r="1170" spans="2:21" x14ac:dyDescent="0.2">
      <c r="B1170"/>
      <c r="S1170"/>
      <c r="T1170"/>
      <c r="U1170"/>
    </row>
    <row r="1171" spans="2:21" x14ac:dyDescent="0.2">
      <c r="B1171"/>
      <c r="S1171"/>
      <c r="T1171"/>
      <c r="U1171"/>
    </row>
    <row r="1172" spans="2:21" x14ac:dyDescent="0.2">
      <c r="B1172"/>
      <c r="S1172"/>
      <c r="T1172"/>
      <c r="U1172"/>
    </row>
    <row r="1173" spans="2:21" x14ac:dyDescent="0.2">
      <c r="B1173"/>
      <c r="S1173"/>
      <c r="T1173"/>
      <c r="U1173"/>
    </row>
    <row r="1174" spans="2:21" x14ac:dyDescent="0.2">
      <c r="B1174"/>
      <c r="S1174"/>
      <c r="T1174"/>
      <c r="U1174"/>
    </row>
    <row r="1175" spans="2:21" x14ac:dyDescent="0.2">
      <c r="B1175"/>
      <c r="S1175"/>
      <c r="T1175"/>
      <c r="U1175"/>
    </row>
    <row r="1176" spans="2:21" x14ac:dyDescent="0.2">
      <c r="B1176"/>
      <c r="S1176"/>
      <c r="T1176"/>
      <c r="U1176"/>
    </row>
    <row r="1177" spans="2:21" x14ac:dyDescent="0.2">
      <c r="B1177"/>
      <c r="S1177"/>
      <c r="T1177"/>
      <c r="U1177"/>
    </row>
    <row r="1178" spans="2:21" x14ac:dyDescent="0.2">
      <c r="B1178"/>
      <c r="S1178"/>
      <c r="T1178"/>
      <c r="U1178"/>
    </row>
    <row r="1179" spans="2:21" x14ac:dyDescent="0.2">
      <c r="B1179"/>
      <c r="S1179"/>
      <c r="T1179"/>
      <c r="U1179"/>
    </row>
    <row r="1180" spans="2:21" x14ac:dyDescent="0.2">
      <c r="B1180"/>
      <c r="S1180"/>
      <c r="T1180"/>
      <c r="U1180"/>
    </row>
    <row r="1181" spans="2:21" x14ac:dyDescent="0.2">
      <c r="B1181"/>
      <c r="S1181"/>
      <c r="T1181"/>
      <c r="U1181"/>
    </row>
    <row r="1182" spans="2:21" x14ac:dyDescent="0.2">
      <c r="B1182"/>
      <c r="S1182"/>
      <c r="T1182"/>
      <c r="U1182"/>
    </row>
    <row r="1183" spans="2:21" x14ac:dyDescent="0.2">
      <c r="B1183"/>
      <c r="S1183"/>
      <c r="T1183"/>
      <c r="U1183"/>
    </row>
    <row r="1184" spans="2:21" x14ac:dyDescent="0.2">
      <c r="B1184"/>
      <c r="S1184"/>
      <c r="T1184"/>
      <c r="U1184"/>
    </row>
    <row r="1185" spans="2:21" x14ac:dyDescent="0.2">
      <c r="B1185"/>
      <c r="S1185"/>
      <c r="T1185"/>
      <c r="U1185"/>
    </row>
    <row r="1186" spans="2:21" x14ac:dyDescent="0.2">
      <c r="B1186"/>
      <c r="S1186"/>
      <c r="T1186"/>
      <c r="U1186"/>
    </row>
    <row r="1187" spans="2:21" x14ac:dyDescent="0.2">
      <c r="B1187"/>
      <c r="S1187"/>
      <c r="T1187"/>
      <c r="U1187"/>
    </row>
    <row r="1188" spans="2:21" x14ac:dyDescent="0.2">
      <c r="B1188"/>
      <c r="S1188"/>
      <c r="T1188"/>
      <c r="U1188"/>
    </row>
    <row r="1189" spans="2:21" x14ac:dyDescent="0.2">
      <c r="B1189"/>
      <c r="S1189"/>
      <c r="T1189"/>
      <c r="U1189"/>
    </row>
    <row r="1190" spans="2:21" x14ac:dyDescent="0.2">
      <c r="B1190"/>
      <c r="S1190"/>
      <c r="T1190"/>
      <c r="U1190"/>
    </row>
    <row r="1191" spans="2:21" x14ac:dyDescent="0.2">
      <c r="B1191"/>
      <c r="S1191"/>
      <c r="T1191"/>
      <c r="U1191"/>
    </row>
    <row r="1192" spans="2:21" x14ac:dyDescent="0.2">
      <c r="B1192"/>
      <c r="S1192"/>
      <c r="T1192"/>
      <c r="U1192"/>
    </row>
    <row r="1193" spans="2:21" x14ac:dyDescent="0.2">
      <c r="B1193"/>
      <c r="S1193"/>
      <c r="T1193"/>
      <c r="U1193"/>
    </row>
    <row r="1194" spans="2:21" x14ac:dyDescent="0.2">
      <c r="B1194"/>
      <c r="S1194"/>
      <c r="T1194"/>
      <c r="U1194"/>
    </row>
    <row r="1195" spans="2:21" x14ac:dyDescent="0.2">
      <c r="B1195"/>
      <c r="S1195"/>
      <c r="T1195"/>
      <c r="U1195"/>
    </row>
    <row r="1196" spans="2:21" x14ac:dyDescent="0.2">
      <c r="B1196"/>
      <c r="S1196"/>
      <c r="T1196"/>
      <c r="U1196"/>
    </row>
    <row r="1197" spans="2:21" x14ac:dyDescent="0.2">
      <c r="B1197"/>
      <c r="S1197"/>
      <c r="T1197"/>
      <c r="U1197"/>
    </row>
    <row r="1198" spans="2:21" x14ac:dyDescent="0.2">
      <c r="B1198"/>
      <c r="S1198"/>
      <c r="T1198"/>
      <c r="U1198"/>
    </row>
    <row r="1199" spans="2:21" x14ac:dyDescent="0.2">
      <c r="B1199"/>
      <c r="S1199"/>
      <c r="T1199"/>
      <c r="U1199"/>
    </row>
    <row r="1200" spans="2:21" x14ac:dyDescent="0.2">
      <c r="B1200"/>
      <c r="S1200"/>
      <c r="T1200"/>
      <c r="U1200"/>
    </row>
    <row r="1201" spans="2:21" x14ac:dyDescent="0.2">
      <c r="B1201"/>
      <c r="S1201"/>
      <c r="T1201"/>
      <c r="U1201"/>
    </row>
    <row r="1202" spans="2:21" x14ac:dyDescent="0.2">
      <c r="B1202"/>
      <c r="S1202"/>
      <c r="T1202"/>
      <c r="U1202"/>
    </row>
    <row r="1203" spans="2:21" x14ac:dyDescent="0.2">
      <c r="B1203"/>
      <c r="S1203"/>
      <c r="T1203"/>
      <c r="U1203"/>
    </row>
    <row r="1204" spans="2:21" x14ac:dyDescent="0.2">
      <c r="B1204"/>
      <c r="S1204"/>
      <c r="T1204"/>
      <c r="U1204"/>
    </row>
    <row r="1205" spans="2:21" x14ac:dyDescent="0.2">
      <c r="B1205"/>
      <c r="S1205"/>
      <c r="T1205"/>
      <c r="U1205"/>
    </row>
    <row r="1206" spans="2:21" x14ac:dyDescent="0.2">
      <c r="B1206"/>
      <c r="S1206"/>
      <c r="T1206"/>
      <c r="U1206"/>
    </row>
    <row r="1207" spans="2:21" x14ac:dyDescent="0.2">
      <c r="B1207"/>
      <c r="S1207"/>
      <c r="T1207"/>
      <c r="U1207"/>
    </row>
    <row r="1208" spans="2:21" x14ac:dyDescent="0.2">
      <c r="B1208"/>
      <c r="S1208"/>
      <c r="T1208"/>
      <c r="U1208"/>
    </row>
    <row r="1209" spans="2:21" x14ac:dyDescent="0.2">
      <c r="B1209"/>
      <c r="S1209"/>
      <c r="T1209"/>
      <c r="U1209"/>
    </row>
    <row r="1210" spans="2:21" x14ac:dyDescent="0.2">
      <c r="B1210"/>
      <c r="S1210"/>
      <c r="T1210"/>
      <c r="U1210"/>
    </row>
    <row r="1211" spans="2:21" x14ac:dyDescent="0.2">
      <c r="B1211"/>
      <c r="S1211"/>
      <c r="T1211"/>
      <c r="U1211"/>
    </row>
    <row r="1212" spans="2:21" x14ac:dyDescent="0.2">
      <c r="B1212"/>
      <c r="S1212"/>
      <c r="T1212"/>
      <c r="U1212"/>
    </row>
    <row r="1213" spans="2:21" x14ac:dyDescent="0.2">
      <c r="B1213"/>
      <c r="S1213"/>
      <c r="T1213"/>
      <c r="U1213"/>
    </row>
    <row r="1214" spans="2:21" x14ac:dyDescent="0.2">
      <c r="B1214"/>
      <c r="S1214"/>
      <c r="T1214"/>
      <c r="U1214"/>
    </row>
    <row r="1215" spans="2:21" x14ac:dyDescent="0.2">
      <c r="B1215"/>
      <c r="S1215"/>
      <c r="T1215"/>
      <c r="U1215"/>
    </row>
    <row r="1216" spans="2:21" x14ac:dyDescent="0.2">
      <c r="B1216"/>
      <c r="S1216"/>
      <c r="T1216"/>
      <c r="U1216"/>
    </row>
    <row r="1217" spans="2:21" x14ac:dyDescent="0.2">
      <c r="B1217"/>
      <c r="S1217"/>
      <c r="T1217"/>
      <c r="U1217"/>
    </row>
    <row r="1218" spans="2:21" x14ac:dyDescent="0.2">
      <c r="B1218"/>
      <c r="S1218"/>
      <c r="T1218"/>
      <c r="U1218"/>
    </row>
    <row r="1219" spans="2:21" x14ac:dyDescent="0.2">
      <c r="B1219"/>
      <c r="S1219"/>
      <c r="T1219"/>
      <c r="U1219"/>
    </row>
    <row r="1220" spans="2:21" x14ac:dyDescent="0.2">
      <c r="B1220"/>
      <c r="S1220"/>
      <c r="T1220"/>
      <c r="U1220"/>
    </row>
    <row r="1221" spans="2:21" x14ac:dyDescent="0.2">
      <c r="B1221"/>
      <c r="S1221"/>
      <c r="T1221"/>
      <c r="U1221"/>
    </row>
    <row r="1222" spans="2:21" x14ac:dyDescent="0.2">
      <c r="B1222"/>
      <c r="S1222"/>
      <c r="T1222"/>
      <c r="U1222"/>
    </row>
    <row r="1223" spans="2:21" x14ac:dyDescent="0.2">
      <c r="B1223"/>
      <c r="S1223"/>
      <c r="T1223"/>
      <c r="U1223"/>
    </row>
    <row r="1224" spans="2:21" x14ac:dyDescent="0.2">
      <c r="B1224"/>
      <c r="S1224"/>
      <c r="T1224"/>
      <c r="U1224"/>
    </row>
    <row r="1225" spans="2:21" x14ac:dyDescent="0.2">
      <c r="B1225"/>
      <c r="S1225"/>
      <c r="T1225"/>
      <c r="U1225"/>
    </row>
    <row r="1226" spans="2:21" x14ac:dyDescent="0.2">
      <c r="B1226"/>
      <c r="S1226"/>
      <c r="T1226"/>
      <c r="U1226"/>
    </row>
    <row r="1227" spans="2:21" x14ac:dyDescent="0.2">
      <c r="B1227"/>
      <c r="S1227"/>
      <c r="T1227"/>
      <c r="U1227"/>
    </row>
    <row r="1228" spans="2:21" x14ac:dyDescent="0.2">
      <c r="B1228"/>
      <c r="S1228"/>
      <c r="T1228"/>
      <c r="U1228"/>
    </row>
    <row r="1229" spans="2:21" x14ac:dyDescent="0.2">
      <c r="B1229"/>
      <c r="S1229"/>
      <c r="T1229"/>
      <c r="U1229"/>
    </row>
    <row r="1230" spans="2:21" x14ac:dyDescent="0.2">
      <c r="B1230"/>
      <c r="S1230"/>
      <c r="T1230"/>
      <c r="U1230"/>
    </row>
    <row r="1231" spans="2:21" x14ac:dyDescent="0.2">
      <c r="B1231"/>
      <c r="S1231"/>
      <c r="T1231"/>
      <c r="U1231"/>
    </row>
    <row r="1232" spans="2:21" x14ac:dyDescent="0.2">
      <c r="B1232"/>
      <c r="S1232"/>
      <c r="T1232"/>
      <c r="U1232"/>
    </row>
    <row r="1233" spans="2:21" x14ac:dyDescent="0.2">
      <c r="B1233"/>
      <c r="S1233"/>
      <c r="T1233"/>
      <c r="U1233"/>
    </row>
    <row r="1234" spans="2:21" x14ac:dyDescent="0.2">
      <c r="B1234"/>
      <c r="S1234"/>
      <c r="T1234"/>
      <c r="U1234"/>
    </row>
    <row r="1235" spans="2:21" x14ac:dyDescent="0.2">
      <c r="B1235"/>
      <c r="S1235"/>
      <c r="T1235"/>
      <c r="U1235"/>
    </row>
    <row r="1236" spans="2:21" x14ac:dyDescent="0.2">
      <c r="B1236"/>
      <c r="S1236"/>
      <c r="T1236"/>
      <c r="U1236"/>
    </row>
    <row r="1237" spans="2:21" x14ac:dyDescent="0.2">
      <c r="B1237"/>
      <c r="S1237"/>
      <c r="T1237"/>
      <c r="U1237"/>
    </row>
    <row r="1238" spans="2:21" x14ac:dyDescent="0.2">
      <c r="B1238"/>
      <c r="S1238"/>
      <c r="T1238"/>
      <c r="U1238"/>
    </row>
    <row r="1239" spans="2:21" x14ac:dyDescent="0.2">
      <c r="B1239"/>
      <c r="S1239"/>
      <c r="T1239"/>
      <c r="U1239"/>
    </row>
    <row r="1240" spans="2:21" x14ac:dyDescent="0.2">
      <c r="B1240"/>
      <c r="S1240"/>
      <c r="T1240"/>
      <c r="U1240"/>
    </row>
    <row r="1241" spans="2:21" x14ac:dyDescent="0.2">
      <c r="B1241"/>
      <c r="S1241"/>
      <c r="T1241"/>
      <c r="U1241"/>
    </row>
    <row r="1242" spans="2:21" x14ac:dyDescent="0.2">
      <c r="B1242"/>
      <c r="S1242"/>
      <c r="T1242"/>
      <c r="U1242"/>
    </row>
    <row r="1243" spans="2:21" x14ac:dyDescent="0.2">
      <c r="B1243"/>
      <c r="S1243"/>
      <c r="T1243"/>
      <c r="U1243"/>
    </row>
    <row r="1244" spans="2:21" x14ac:dyDescent="0.2">
      <c r="B1244"/>
      <c r="S1244"/>
      <c r="T1244"/>
      <c r="U1244"/>
    </row>
    <row r="1245" spans="2:21" x14ac:dyDescent="0.2">
      <c r="B1245"/>
      <c r="S1245"/>
      <c r="T1245"/>
      <c r="U1245"/>
    </row>
    <row r="1246" spans="2:21" x14ac:dyDescent="0.2">
      <c r="B1246"/>
      <c r="S1246"/>
      <c r="T1246"/>
      <c r="U1246"/>
    </row>
    <row r="1247" spans="2:21" x14ac:dyDescent="0.2">
      <c r="B1247"/>
      <c r="S1247"/>
      <c r="T1247"/>
      <c r="U1247"/>
    </row>
    <row r="1248" spans="2:21" x14ac:dyDescent="0.2">
      <c r="B1248"/>
      <c r="S1248"/>
      <c r="T1248"/>
      <c r="U1248"/>
    </row>
    <row r="1249" spans="19:21" x14ac:dyDescent="0.2">
      <c r="S1249"/>
      <c r="T1249"/>
      <c r="U1249"/>
    </row>
    <row r="1250" spans="19:21" x14ac:dyDescent="0.2">
      <c r="S1250"/>
      <c r="T1250"/>
      <c r="U1250"/>
    </row>
    <row r="1251" spans="19:21" x14ac:dyDescent="0.2">
      <c r="S1251"/>
      <c r="T1251"/>
      <c r="U1251"/>
    </row>
    <row r="1252" spans="19:21" x14ac:dyDescent="0.2">
      <c r="S1252"/>
      <c r="T1252"/>
      <c r="U1252"/>
    </row>
    <row r="1253" spans="19:21" x14ac:dyDescent="0.2">
      <c r="S1253"/>
      <c r="T1253"/>
      <c r="U1253"/>
    </row>
    <row r="1254" spans="19:21" x14ac:dyDescent="0.2">
      <c r="S1254"/>
      <c r="T1254"/>
      <c r="U1254"/>
    </row>
    <row r="1255" spans="19:21" x14ac:dyDescent="0.2">
      <c r="S1255"/>
      <c r="T1255"/>
      <c r="U1255"/>
    </row>
    <row r="1256" spans="19:21" x14ac:dyDescent="0.2">
      <c r="S1256"/>
      <c r="T1256"/>
      <c r="U1256"/>
    </row>
    <row r="1257" spans="19:21" x14ac:dyDescent="0.2">
      <c r="S1257"/>
      <c r="T1257"/>
      <c r="U1257"/>
    </row>
    <row r="1258" spans="19:21" x14ac:dyDescent="0.2">
      <c r="S1258"/>
      <c r="T1258"/>
      <c r="U1258"/>
    </row>
    <row r="1259" spans="19:21" x14ac:dyDescent="0.2">
      <c r="S1259"/>
      <c r="T1259"/>
      <c r="U1259"/>
    </row>
    <row r="1260" spans="19:21" x14ac:dyDescent="0.2">
      <c r="S1260"/>
      <c r="T1260"/>
      <c r="U1260"/>
    </row>
    <row r="1261" spans="19:21" x14ac:dyDescent="0.2">
      <c r="S1261"/>
      <c r="T1261"/>
      <c r="U1261"/>
    </row>
    <row r="1262" spans="19:21" x14ac:dyDescent="0.2">
      <c r="S1262"/>
      <c r="T1262"/>
      <c r="U1262"/>
    </row>
    <row r="1263" spans="19:21" x14ac:dyDescent="0.2">
      <c r="S1263"/>
      <c r="T1263"/>
      <c r="U1263"/>
    </row>
    <row r="1264" spans="19:21" x14ac:dyDescent="0.2">
      <c r="S1264"/>
      <c r="T1264"/>
      <c r="U1264"/>
    </row>
    <row r="1265" spans="19:21" x14ac:dyDescent="0.2">
      <c r="S1265"/>
      <c r="T1265"/>
      <c r="U1265"/>
    </row>
    <row r="1266" spans="19:21" x14ac:dyDescent="0.2">
      <c r="S1266"/>
      <c r="T1266"/>
      <c r="U1266"/>
    </row>
    <row r="1267" spans="19:21" x14ac:dyDescent="0.2">
      <c r="S1267"/>
      <c r="T1267"/>
      <c r="U1267"/>
    </row>
    <row r="1268" spans="19:21" x14ac:dyDescent="0.2">
      <c r="S1268"/>
      <c r="T1268"/>
      <c r="U1268"/>
    </row>
    <row r="1269" spans="19:21" x14ac:dyDescent="0.2">
      <c r="S1269"/>
      <c r="T1269"/>
      <c r="U1269"/>
    </row>
    <row r="1270" spans="19:21" x14ac:dyDescent="0.2">
      <c r="S1270"/>
      <c r="T1270"/>
      <c r="U1270"/>
    </row>
    <row r="1271" spans="19:21" x14ac:dyDescent="0.2">
      <c r="S1271"/>
      <c r="T1271"/>
      <c r="U1271"/>
    </row>
    <row r="1272" spans="19:21" x14ac:dyDescent="0.2">
      <c r="S1272"/>
      <c r="T1272"/>
      <c r="U1272"/>
    </row>
    <row r="1273" spans="19:21" x14ac:dyDescent="0.2">
      <c r="S1273"/>
      <c r="T1273"/>
      <c r="U1273"/>
    </row>
    <row r="1274" spans="19:21" x14ac:dyDescent="0.2">
      <c r="S1274"/>
      <c r="T1274"/>
      <c r="U1274"/>
    </row>
    <row r="1275" spans="19:21" x14ac:dyDescent="0.2">
      <c r="S1275"/>
      <c r="T1275"/>
      <c r="U1275"/>
    </row>
    <row r="1276" spans="19:21" x14ac:dyDescent="0.2">
      <c r="S1276"/>
      <c r="T1276"/>
      <c r="U1276"/>
    </row>
    <row r="1277" spans="19:21" x14ac:dyDescent="0.2">
      <c r="S1277"/>
      <c r="T1277"/>
      <c r="U1277"/>
    </row>
    <row r="1278" spans="19:21" x14ac:dyDescent="0.2">
      <c r="S1278"/>
      <c r="T1278"/>
      <c r="U1278"/>
    </row>
    <row r="1279" spans="19:21" x14ac:dyDescent="0.2">
      <c r="S1279"/>
      <c r="T1279"/>
      <c r="U1279"/>
    </row>
    <row r="1280" spans="19:21" x14ac:dyDescent="0.2">
      <c r="S1280"/>
      <c r="T1280"/>
      <c r="U1280"/>
    </row>
    <row r="1281" spans="19:21" x14ac:dyDescent="0.2">
      <c r="S1281"/>
      <c r="T1281"/>
      <c r="U1281"/>
    </row>
    <row r="1282" spans="19:21" x14ac:dyDescent="0.2">
      <c r="S1282"/>
      <c r="T1282"/>
      <c r="U1282"/>
    </row>
    <row r="1283" spans="19:21" x14ac:dyDescent="0.2">
      <c r="S1283"/>
      <c r="T1283"/>
      <c r="U1283"/>
    </row>
    <row r="1284" spans="19:21" x14ac:dyDescent="0.2">
      <c r="S1284"/>
      <c r="T1284"/>
      <c r="U1284"/>
    </row>
    <row r="1285" spans="19:21" x14ac:dyDescent="0.2">
      <c r="S1285"/>
      <c r="T1285"/>
      <c r="U1285"/>
    </row>
    <row r="1286" spans="19:21" x14ac:dyDescent="0.2">
      <c r="S1286"/>
      <c r="T1286"/>
      <c r="U1286"/>
    </row>
    <row r="1287" spans="19:21" x14ac:dyDescent="0.2">
      <c r="S1287"/>
      <c r="T1287"/>
      <c r="U1287"/>
    </row>
    <row r="1288" spans="19:21" x14ac:dyDescent="0.2">
      <c r="S1288"/>
      <c r="T1288"/>
      <c r="U1288"/>
    </row>
    <row r="1289" spans="19:21" x14ac:dyDescent="0.2">
      <c r="S1289"/>
      <c r="T1289"/>
      <c r="U1289"/>
    </row>
    <row r="1290" spans="19:21" x14ac:dyDescent="0.2">
      <c r="S1290"/>
      <c r="T1290"/>
      <c r="U1290"/>
    </row>
    <row r="1291" spans="19:21" x14ac:dyDescent="0.2">
      <c r="S1291"/>
      <c r="T1291"/>
      <c r="U1291"/>
    </row>
    <row r="1292" spans="19:21" x14ac:dyDescent="0.2">
      <c r="S1292"/>
      <c r="T1292"/>
      <c r="U1292"/>
    </row>
    <row r="1293" spans="19:21" x14ac:dyDescent="0.2">
      <c r="S1293"/>
      <c r="T1293"/>
      <c r="U1293"/>
    </row>
    <row r="1294" spans="19:21" x14ac:dyDescent="0.2">
      <c r="S1294"/>
      <c r="T1294"/>
      <c r="U1294"/>
    </row>
    <row r="1295" spans="19:21" x14ac:dyDescent="0.2">
      <c r="S1295"/>
      <c r="T1295"/>
      <c r="U1295"/>
    </row>
    <row r="1296" spans="19:21" x14ac:dyDescent="0.2">
      <c r="S1296"/>
      <c r="T1296"/>
      <c r="U1296"/>
    </row>
    <row r="1297" spans="19:21" x14ac:dyDescent="0.2">
      <c r="S1297"/>
      <c r="T1297"/>
      <c r="U1297"/>
    </row>
    <row r="1298" spans="19:21" x14ac:dyDescent="0.2">
      <c r="S1298"/>
      <c r="T1298"/>
      <c r="U1298"/>
    </row>
    <row r="1299" spans="19:21" x14ac:dyDescent="0.2">
      <c r="S1299"/>
      <c r="T1299"/>
      <c r="U1299"/>
    </row>
    <row r="1300" spans="19:21" x14ac:dyDescent="0.2">
      <c r="S1300"/>
      <c r="T1300"/>
      <c r="U1300"/>
    </row>
    <row r="1301" spans="19:21" x14ac:dyDescent="0.2">
      <c r="S1301"/>
      <c r="T1301"/>
      <c r="U1301"/>
    </row>
    <row r="1302" spans="19:21" x14ac:dyDescent="0.2">
      <c r="S1302"/>
      <c r="T1302"/>
      <c r="U1302"/>
    </row>
    <row r="1303" spans="19:21" x14ac:dyDescent="0.2">
      <c r="S1303"/>
      <c r="T1303"/>
      <c r="U1303"/>
    </row>
    <row r="1304" spans="19:21" x14ac:dyDescent="0.2">
      <c r="S1304"/>
      <c r="T1304"/>
      <c r="U1304"/>
    </row>
    <row r="1305" spans="19:21" x14ac:dyDescent="0.2">
      <c r="S1305"/>
      <c r="T1305"/>
      <c r="U1305"/>
    </row>
    <row r="1306" spans="19:21" x14ac:dyDescent="0.2">
      <c r="S1306"/>
      <c r="T1306"/>
      <c r="U1306"/>
    </row>
    <row r="1307" spans="19:21" x14ac:dyDescent="0.2">
      <c r="S1307"/>
      <c r="T1307"/>
      <c r="U1307"/>
    </row>
    <row r="1308" spans="19:21" x14ac:dyDescent="0.2">
      <c r="S1308"/>
      <c r="T1308"/>
      <c r="U1308"/>
    </row>
    <row r="1309" spans="19:21" x14ac:dyDescent="0.2">
      <c r="S1309"/>
      <c r="T1309"/>
      <c r="U1309"/>
    </row>
    <row r="1310" spans="19:21" x14ac:dyDescent="0.2">
      <c r="S1310"/>
      <c r="T1310"/>
      <c r="U1310"/>
    </row>
    <row r="1311" spans="19:21" x14ac:dyDescent="0.2">
      <c r="S1311"/>
      <c r="T1311"/>
      <c r="U1311"/>
    </row>
    <row r="1312" spans="19:21" x14ac:dyDescent="0.2">
      <c r="S1312"/>
      <c r="T1312"/>
      <c r="U1312"/>
    </row>
    <row r="1313" spans="19:21" x14ac:dyDescent="0.2">
      <c r="S1313"/>
      <c r="T1313"/>
      <c r="U1313"/>
    </row>
    <row r="1314" spans="19:21" x14ac:dyDescent="0.2">
      <c r="S1314"/>
      <c r="T1314"/>
      <c r="U1314"/>
    </row>
    <row r="1315" spans="19:21" x14ac:dyDescent="0.2">
      <c r="S1315"/>
      <c r="T1315"/>
      <c r="U1315"/>
    </row>
    <row r="1316" spans="19:21" x14ac:dyDescent="0.2">
      <c r="S1316"/>
      <c r="T1316"/>
      <c r="U1316"/>
    </row>
    <row r="1317" spans="19:21" x14ac:dyDescent="0.2">
      <c r="S1317"/>
      <c r="T1317"/>
      <c r="U1317"/>
    </row>
    <row r="1318" spans="19:21" x14ac:dyDescent="0.2">
      <c r="S1318"/>
      <c r="T1318"/>
      <c r="U1318"/>
    </row>
    <row r="1319" spans="19:21" x14ac:dyDescent="0.2">
      <c r="S1319"/>
      <c r="T1319"/>
      <c r="U1319"/>
    </row>
    <row r="1320" spans="19:21" x14ac:dyDescent="0.2">
      <c r="S1320"/>
      <c r="T1320"/>
      <c r="U1320"/>
    </row>
    <row r="1321" spans="19:21" x14ac:dyDescent="0.2">
      <c r="S1321"/>
      <c r="T1321"/>
      <c r="U1321"/>
    </row>
    <row r="1322" spans="19:21" x14ac:dyDescent="0.2">
      <c r="S1322"/>
      <c r="T1322"/>
      <c r="U1322"/>
    </row>
    <row r="1323" spans="19:21" x14ac:dyDescent="0.2">
      <c r="S1323"/>
      <c r="T1323"/>
      <c r="U1323"/>
    </row>
    <row r="1324" spans="19:21" x14ac:dyDescent="0.2">
      <c r="S1324"/>
      <c r="T1324"/>
      <c r="U1324"/>
    </row>
    <row r="1325" spans="19:21" x14ac:dyDescent="0.2">
      <c r="S1325"/>
      <c r="T1325"/>
      <c r="U1325"/>
    </row>
    <row r="1326" spans="19:21" x14ac:dyDescent="0.2">
      <c r="S1326"/>
      <c r="T1326"/>
      <c r="U1326"/>
    </row>
    <row r="1327" spans="19:21" x14ac:dyDescent="0.2">
      <c r="S1327"/>
      <c r="T1327"/>
      <c r="U1327"/>
    </row>
    <row r="1328" spans="19:21" x14ac:dyDescent="0.2">
      <c r="S1328"/>
      <c r="T1328"/>
      <c r="U1328"/>
    </row>
    <row r="1329" spans="19:21" x14ac:dyDescent="0.2">
      <c r="S1329"/>
      <c r="T1329"/>
      <c r="U1329"/>
    </row>
    <row r="1330" spans="19:21" x14ac:dyDescent="0.2">
      <c r="S1330"/>
      <c r="T1330"/>
      <c r="U1330"/>
    </row>
    <row r="1331" spans="19:21" x14ac:dyDescent="0.2">
      <c r="S1331"/>
      <c r="T1331"/>
      <c r="U1331"/>
    </row>
    <row r="1332" spans="19:21" x14ac:dyDescent="0.2">
      <c r="S1332"/>
      <c r="T1332"/>
      <c r="U1332"/>
    </row>
    <row r="1333" spans="19:21" x14ac:dyDescent="0.2">
      <c r="S1333"/>
      <c r="T1333"/>
      <c r="U1333"/>
    </row>
    <row r="1334" spans="19:21" x14ac:dyDescent="0.2">
      <c r="S1334"/>
      <c r="T1334"/>
      <c r="U1334"/>
    </row>
    <row r="1335" spans="19:21" x14ac:dyDescent="0.2">
      <c r="S1335"/>
      <c r="T1335"/>
      <c r="U1335"/>
    </row>
    <row r="1336" spans="19:21" x14ac:dyDescent="0.2">
      <c r="S1336"/>
      <c r="T1336"/>
      <c r="U1336"/>
    </row>
    <row r="1337" spans="19:21" x14ac:dyDescent="0.2">
      <c r="S1337"/>
      <c r="T1337"/>
      <c r="U1337"/>
    </row>
    <row r="1338" spans="19:21" x14ac:dyDescent="0.2">
      <c r="S1338"/>
      <c r="T1338"/>
      <c r="U1338"/>
    </row>
    <row r="1339" spans="19:21" x14ac:dyDescent="0.2">
      <c r="S1339"/>
      <c r="T1339"/>
      <c r="U1339"/>
    </row>
    <row r="1340" spans="19:21" x14ac:dyDescent="0.2">
      <c r="S1340"/>
      <c r="T1340"/>
      <c r="U1340"/>
    </row>
    <row r="1341" spans="19:21" x14ac:dyDescent="0.2">
      <c r="S1341"/>
      <c r="T1341"/>
      <c r="U1341"/>
    </row>
    <row r="1342" spans="19:21" x14ac:dyDescent="0.2">
      <c r="S1342"/>
      <c r="T1342"/>
      <c r="U1342"/>
    </row>
    <row r="1343" spans="19:21" x14ac:dyDescent="0.2">
      <c r="S1343"/>
      <c r="T1343"/>
      <c r="U1343"/>
    </row>
    <row r="1344" spans="19:21" x14ac:dyDescent="0.2">
      <c r="S1344"/>
      <c r="T1344"/>
      <c r="U1344"/>
    </row>
    <row r="1345" spans="19:21" x14ac:dyDescent="0.2">
      <c r="S1345"/>
      <c r="T1345"/>
      <c r="U1345"/>
    </row>
    <row r="1346" spans="19:21" x14ac:dyDescent="0.2">
      <c r="S1346"/>
      <c r="T1346"/>
      <c r="U1346"/>
    </row>
    <row r="1347" spans="19:21" x14ac:dyDescent="0.2">
      <c r="S1347"/>
      <c r="T1347"/>
      <c r="U1347"/>
    </row>
    <row r="1348" spans="19:21" x14ac:dyDescent="0.2">
      <c r="S1348"/>
      <c r="T1348"/>
      <c r="U1348"/>
    </row>
    <row r="1349" spans="19:21" x14ac:dyDescent="0.2">
      <c r="S1349"/>
      <c r="T1349"/>
      <c r="U1349"/>
    </row>
    <row r="1350" spans="19:21" x14ac:dyDescent="0.2">
      <c r="S1350"/>
      <c r="T1350"/>
      <c r="U1350"/>
    </row>
    <row r="1351" spans="19:21" x14ac:dyDescent="0.2">
      <c r="S1351"/>
      <c r="T1351"/>
      <c r="U1351"/>
    </row>
    <row r="1352" spans="19:21" x14ac:dyDescent="0.2">
      <c r="S1352"/>
      <c r="T1352"/>
      <c r="U1352"/>
    </row>
    <row r="1353" spans="19:21" x14ac:dyDescent="0.2">
      <c r="S1353"/>
      <c r="T1353"/>
      <c r="U1353"/>
    </row>
    <row r="1354" spans="19:21" x14ac:dyDescent="0.2">
      <c r="S1354"/>
      <c r="T1354"/>
      <c r="U1354"/>
    </row>
    <row r="1355" spans="19:21" x14ac:dyDescent="0.2">
      <c r="S1355"/>
      <c r="T1355"/>
      <c r="U1355"/>
    </row>
    <row r="1356" spans="19:21" x14ac:dyDescent="0.2">
      <c r="S1356"/>
      <c r="T1356"/>
      <c r="U1356"/>
    </row>
    <row r="1357" spans="19:21" x14ac:dyDescent="0.2">
      <c r="S1357"/>
      <c r="T1357"/>
      <c r="U1357"/>
    </row>
    <row r="1358" spans="19:21" x14ac:dyDescent="0.2">
      <c r="S1358"/>
      <c r="T1358"/>
      <c r="U1358"/>
    </row>
    <row r="1359" spans="19:21" x14ac:dyDescent="0.2">
      <c r="S1359"/>
      <c r="T1359"/>
      <c r="U1359"/>
    </row>
    <row r="1360" spans="19:21" x14ac:dyDescent="0.2">
      <c r="S1360"/>
      <c r="T1360"/>
      <c r="U1360"/>
    </row>
    <row r="1361" spans="19:21" x14ac:dyDescent="0.2">
      <c r="S1361"/>
      <c r="T1361"/>
      <c r="U1361"/>
    </row>
    <row r="1362" spans="19:21" x14ac:dyDescent="0.2">
      <c r="S1362"/>
      <c r="T1362"/>
      <c r="U1362"/>
    </row>
    <row r="1363" spans="19:21" x14ac:dyDescent="0.2">
      <c r="S1363"/>
      <c r="T1363"/>
      <c r="U1363"/>
    </row>
    <row r="1364" spans="19:21" x14ac:dyDescent="0.2">
      <c r="S1364"/>
      <c r="T1364"/>
      <c r="U1364"/>
    </row>
    <row r="1365" spans="19:21" x14ac:dyDescent="0.2">
      <c r="S1365"/>
      <c r="T1365"/>
      <c r="U1365"/>
    </row>
    <row r="1366" spans="19:21" x14ac:dyDescent="0.2">
      <c r="S1366"/>
      <c r="T1366"/>
      <c r="U1366"/>
    </row>
    <row r="1367" spans="19:21" x14ac:dyDescent="0.2">
      <c r="S1367"/>
      <c r="T1367"/>
      <c r="U1367"/>
    </row>
    <row r="1368" spans="19:21" x14ac:dyDescent="0.2">
      <c r="S1368"/>
      <c r="T1368"/>
      <c r="U1368"/>
    </row>
    <row r="1369" spans="19:21" x14ac:dyDescent="0.2">
      <c r="S1369"/>
      <c r="T1369"/>
      <c r="U1369"/>
    </row>
    <row r="1370" spans="19:21" x14ac:dyDescent="0.2">
      <c r="S1370"/>
      <c r="T1370"/>
      <c r="U1370"/>
    </row>
    <row r="1371" spans="19:21" x14ac:dyDescent="0.2">
      <c r="S1371"/>
      <c r="T1371"/>
      <c r="U1371"/>
    </row>
    <row r="1372" spans="19:21" x14ac:dyDescent="0.2">
      <c r="S1372"/>
      <c r="T1372"/>
      <c r="U1372"/>
    </row>
    <row r="1373" spans="19:21" x14ac:dyDescent="0.2">
      <c r="S1373"/>
      <c r="T1373"/>
      <c r="U1373"/>
    </row>
    <row r="1374" spans="19:21" x14ac:dyDescent="0.2">
      <c r="S1374"/>
      <c r="T1374"/>
      <c r="U1374"/>
    </row>
    <row r="1375" spans="19:21" x14ac:dyDescent="0.2">
      <c r="S1375"/>
      <c r="T1375"/>
      <c r="U1375"/>
    </row>
    <row r="1376" spans="19:21" x14ac:dyDescent="0.2">
      <c r="S1376"/>
      <c r="T1376"/>
      <c r="U1376"/>
    </row>
    <row r="1377" spans="19:21" x14ac:dyDescent="0.2">
      <c r="S1377"/>
      <c r="T1377"/>
      <c r="U1377"/>
    </row>
    <row r="1378" spans="19:21" x14ac:dyDescent="0.2">
      <c r="S1378"/>
      <c r="T1378"/>
      <c r="U1378"/>
    </row>
    <row r="1379" spans="19:21" x14ac:dyDescent="0.2">
      <c r="S1379"/>
      <c r="T1379"/>
      <c r="U1379"/>
    </row>
    <row r="1380" spans="19:21" x14ac:dyDescent="0.2">
      <c r="S1380"/>
      <c r="T1380"/>
      <c r="U1380"/>
    </row>
    <row r="1381" spans="19:21" x14ac:dyDescent="0.2">
      <c r="S1381"/>
      <c r="T1381"/>
      <c r="U1381"/>
    </row>
    <row r="1382" spans="19:21" x14ac:dyDescent="0.2">
      <c r="S1382"/>
      <c r="T1382"/>
      <c r="U1382"/>
    </row>
    <row r="1383" spans="19:21" x14ac:dyDescent="0.2">
      <c r="S1383"/>
      <c r="T1383"/>
      <c r="U1383"/>
    </row>
    <row r="1384" spans="19:21" x14ac:dyDescent="0.2">
      <c r="S1384"/>
      <c r="T1384"/>
      <c r="U1384"/>
    </row>
    <row r="1385" spans="19:21" x14ac:dyDescent="0.2">
      <c r="S1385"/>
      <c r="T1385"/>
      <c r="U1385"/>
    </row>
    <row r="1386" spans="19:21" x14ac:dyDescent="0.2">
      <c r="S1386"/>
      <c r="T1386"/>
      <c r="U1386"/>
    </row>
    <row r="1387" spans="19:21" x14ac:dyDescent="0.2">
      <c r="S1387"/>
      <c r="T1387"/>
      <c r="U1387"/>
    </row>
    <row r="1388" spans="19:21" x14ac:dyDescent="0.2">
      <c r="S1388"/>
      <c r="T1388"/>
      <c r="U1388"/>
    </row>
    <row r="1389" spans="19:21" x14ac:dyDescent="0.2">
      <c r="S1389"/>
      <c r="T1389"/>
      <c r="U1389"/>
    </row>
    <row r="1390" spans="19:21" x14ac:dyDescent="0.2">
      <c r="S1390"/>
      <c r="T1390"/>
      <c r="U1390"/>
    </row>
    <row r="1391" spans="19:21" x14ac:dyDescent="0.2">
      <c r="S1391"/>
      <c r="T1391"/>
      <c r="U1391"/>
    </row>
    <row r="1392" spans="19:21" x14ac:dyDescent="0.2">
      <c r="S1392"/>
      <c r="T1392"/>
      <c r="U1392"/>
    </row>
    <row r="1393" spans="19:21" x14ac:dyDescent="0.2">
      <c r="S1393"/>
      <c r="T1393"/>
      <c r="U1393"/>
    </row>
    <row r="1394" spans="19:21" x14ac:dyDescent="0.2">
      <c r="S1394"/>
      <c r="T1394"/>
      <c r="U1394"/>
    </row>
    <row r="1395" spans="19:21" x14ac:dyDescent="0.2">
      <c r="S1395"/>
      <c r="T1395"/>
      <c r="U1395"/>
    </row>
    <row r="1396" spans="19:21" x14ac:dyDescent="0.2">
      <c r="S1396"/>
      <c r="T1396"/>
      <c r="U1396"/>
    </row>
    <row r="1397" spans="19:21" x14ac:dyDescent="0.2">
      <c r="S1397"/>
      <c r="T1397"/>
      <c r="U1397"/>
    </row>
    <row r="1398" spans="19:21" x14ac:dyDescent="0.2">
      <c r="S1398"/>
      <c r="T1398"/>
      <c r="U1398"/>
    </row>
    <row r="1399" spans="19:21" x14ac:dyDescent="0.2">
      <c r="S1399"/>
      <c r="T1399"/>
      <c r="U1399"/>
    </row>
    <row r="1400" spans="19:21" x14ac:dyDescent="0.2">
      <c r="S1400"/>
      <c r="T1400"/>
      <c r="U1400"/>
    </row>
    <row r="1401" spans="19:21" x14ac:dyDescent="0.2">
      <c r="S1401"/>
      <c r="T1401"/>
      <c r="U1401"/>
    </row>
    <row r="1402" spans="19:21" x14ac:dyDescent="0.2">
      <c r="S1402"/>
      <c r="T1402"/>
      <c r="U1402"/>
    </row>
    <row r="1403" spans="19:21" x14ac:dyDescent="0.2">
      <c r="S1403"/>
      <c r="T1403"/>
      <c r="U1403"/>
    </row>
    <row r="1404" spans="19:21" x14ac:dyDescent="0.2">
      <c r="S1404"/>
      <c r="T1404"/>
      <c r="U1404"/>
    </row>
    <row r="1405" spans="19:21" x14ac:dyDescent="0.2">
      <c r="S1405"/>
      <c r="T1405"/>
      <c r="U1405"/>
    </row>
    <row r="1406" spans="19:21" x14ac:dyDescent="0.2">
      <c r="S1406"/>
      <c r="T1406"/>
      <c r="U1406"/>
    </row>
    <row r="1407" spans="19:21" x14ac:dyDescent="0.2">
      <c r="S1407"/>
      <c r="T1407"/>
      <c r="U1407"/>
    </row>
    <row r="1408" spans="19:21" x14ac:dyDescent="0.2">
      <c r="S1408"/>
      <c r="T1408"/>
      <c r="U1408"/>
    </row>
    <row r="1409" spans="19:21" x14ac:dyDescent="0.2">
      <c r="S1409"/>
      <c r="T1409"/>
      <c r="U1409"/>
    </row>
    <row r="1410" spans="19:21" x14ac:dyDescent="0.2">
      <c r="S1410"/>
      <c r="T1410"/>
      <c r="U1410"/>
    </row>
    <row r="1411" spans="19:21" x14ac:dyDescent="0.2">
      <c r="S1411"/>
      <c r="T1411"/>
      <c r="U1411"/>
    </row>
    <row r="1412" spans="19:21" x14ac:dyDescent="0.2">
      <c r="S1412"/>
      <c r="T1412"/>
      <c r="U1412"/>
    </row>
    <row r="1413" spans="19:21" x14ac:dyDescent="0.2">
      <c r="S1413"/>
      <c r="T1413"/>
      <c r="U1413"/>
    </row>
    <row r="1414" spans="19:21" x14ac:dyDescent="0.2">
      <c r="S1414"/>
      <c r="T1414"/>
      <c r="U1414"/>
    </row>
    <row r="1415" spans="19:21" x14ac:dyDescent="0.2">
      <c r="S1415"/>
      <c r="T1415"/>
      <c r="U1415"/>
    </row>
    <row r="1416" spans="19:21" x14ac:dyDescent="0.2">
      <c r="S1416"/>
      <c r="T1416"/>
      <c r="U1416"/>
    </row>
    <row r="1417" spans="19:21" x14ac:dyDescent="0.2">
      <c r="S1417"/>
      <c r="T1417"/>
      <c r="U1417"/>
    </row>
    <row r="1418" spans="19:21" x14ac:dyDescent="0.2">
      <c r="S1418"/>
      <c r="T1418"/>
      <c r="U1418"/>
    </row>
    <row r="1419" spans="19:21" x14ac:dyDescent="0.2">
      <c r="S1419"/>
      <c r="T1419"/>
      <c r="U1419"/>
    </row>
    <row r="1420" spans="19:21" x14ac:dyDescent="0.2">
      <c r="S1420"/>
      <c r="T1420"/>
      <c r="U1420"/>
    </row>
    <row r="1421" spans="19:21" x14ac:dyDescent="0.2">
      <c r="S1421"/>
      <c r="T1421"/>
      <c r="U1421"/>
    </row>
    <row r="1422" spans="19:21" x14ac:dyDescent="0.2">
      <c r="S1422"/>
      <c r="T1422"/>
      <c r="U1422"/>
    </row>
    <row r="1423" spans="19:21" x14ac:dyDescent="0.2">
      <c r="S1423"/>
      <c r="T1423"/>
      <c r="U1423"/>
    </row>
    <row r="1424" spans="19:21" x14ac:dyDescent="0.2">
      <c r="S1424"/>
      <c r="T1424"/>
      <c r="U1424"/>
    </row>
    <row r="1425" spans="19:21" x14ac:dyDescent="0.2">
      <c r="S1425"/>
      <c r="T1425"/>
      <c r="U1425"/>
    </row>
    <row r="1426" spans="19:21" x14ac:dyDescent="0.2">
      <c r="S1426"/>
      <c r="T1426"/>
      <c r="U1426"/>
    </row>
    <row r="1427" spans="19:21" x14ac:dyDescent="0.2">
      <c r="S1427"/>
      <c r="T1427"/>
      <c r="U1427"/>
    </row>
    <row r="1428" spans="19:21" x14ac:dyDescent="0.2">
      <c r="S1428"/>
      <c r="T1428"/>
      <c r="U1428"/>
    </row>
    <row r="1429" spans="19:21" x14ac:dyDescent="0.2">
      <c r="S1429"/>
      <c r="T1429"/>
      <c r="U1429"/>
    </row>
    <row r="1430" spans="19:21" x14ac:dyDescent="0.2">
      <c r="S1430"/>
      <c r="T1430"/>
      <c r="U1430"/>
    </row>
    <row r="1431" spans="19:21" x14ac:dyDescent="0.2">
      <c r="S1431"/>
      <c r="T1431"/>
      <c r="U1431"/>
    </row>
    <row r="1432" spans="19:21" x14ac:dyDescent="0.2">
      <c r="S1432"/>
      <c r="T1432"/>
      <c r="U1432"/>
    </row>
    <row r="1433" spans="19:21" x14ac:dyDescent="0.2">
      <c r="S1433"/>
      <c r="T1433"/>
      <c r="U1433"/>
    </row>
    <row r="1434" spans="19:21" x14ac:dyDescent="0.2">
      <c r="S1434"/>
      <c r="T1434"/>
      <c r="U1434"/>
    </row>
    <row r="1435" spans="19:21" x14ac:dyDescent="0.2">
      <c r="S1435"/>
      <c r="T1435"/>
      <c r="U1435"/>
    </row>
    <row r="1436" spans="19:21" x14ac:dyDescent="0.2">
      <c r="S1436"/>
      <c r="T1436"/>
      <c r="U1436"/>
    </row>
    <row r="1437" spans="19:21" x14ac:dyDescent="0.2">
      <c r="S1437"/>
      <c r="T1437"/>
      <c r="U1437"/>
    </row>
    <row r="1438" spans="19:21" x14ac:dyDescent="0.2">
      <c r="S1438"/>
      <c r="T1438"/>
      <c r="U1438"/>
    </row>
    <row r="1439" spans="19:21" x14ac:dyDescent="0.2">
      <c r="S1439"/>
      <c r="T1439"/>
      <c r="U1439"/>
    </row>
    <row r="1440" spans="19:21" x14ac:dyDescent="0.2">
      <c r="S1440"/>
      <c r="T1440"/>
      <c r="U1440"/>
    </row>
    <row r="1441" spans="19:21" x14ac:dyDescent="0.2">
      <c r="S1441"/>
      <c r="T1441"/>
      <c r="U1441"/>
    </row>
    <row r="1442" spans="19:21" x14ac:dyDescent="0.2">
      <c r="S1442"/>
      <c r="T1442"/>
      <c r="U1442"/>
    </row>
    <row r="1443" spans="19:21" x14ac:dyDescent="0.2">
      <c r="S1443"/>
      <c r="T1443"/>
      <c r="U1443"/>
    </row>
    <row r="1444" spans="19:21" x14ac:dyDescent="0.2">
      <c r="S1444"/>
      <c r="T1444"/>
      <c r="U1444"/>
    </row>
    <row r="1445" spans="19:21" x14ac:dyDescent="0.2">
      <c r="S1445"/>
      <c r="T1445"/>
      <c r="U1445"/>
    </row>
    <row r="1446" spans="19:21" x14ac:dyDescent="0.2">
      <c r="S1446"/>
      <c r="T1446"/>
      <c r="U1446"/>
    </row>
    <row r="1447" spans="19:21" x14ac:dyDescent="0.2">
      <c r="S1447"/>
      <c r="T1447"/>
      <c r="U1447"/>
    </row>
    <row r="1448" spans="19:21" x14ac:dyDescent="0.2">
      <c r="S1448"/>
      <c r="T1448"/>
      <c r="U1448"/>
    </row>
    <row r="1449" spans="19:21" x14ac:dyDescent="0.2">
      <c r="S1449"/>
      <c r="T1449"/>
      <c r="U1449"/>
    </row>
    <row r="1450" spans="19:21" x14ac:dyDescent="0.2">
      <c r="S1450"/>
      <c r="T1450"/>
      <c r="U1450"/>
    </row>
    <row r="1451" spans="19:21" x14ac:dyDescent="0.2">
      <c r="S1451"/>
      <c r="T1451"/>
      <c r="U1451"/>
    </row>
    <row r="1452" spans="19:21" x14ac:dyDescent="0.2">
      <c r="S1452"/>
      <c r="T1452"/>
      <c r="U1452"/>
    </row>
    <row r="1453" spans="19:21" x14ac:dyDescent="0.2">
      <c r="S1453"/>
      <c r="T1453"/>
      <c r="U1453"/>
    </row>
    <row r="1454" spans="19:21" x14ac:dyDescent="0.2">
      <c r="S1454"/>
      <c r="T1454"/>
      <c r="U1454"/>
    </row>
    <row r="1455" spans="19:21" x14ac:dyDescent="0.2">
      <c r="S1455"/>
      <c r="T1455"/>
      <c r="U1455"/>
    </row>
    <row r="1456" spans="19:21" x14ac:dyDescent="0.2">
      <c r="S1456"/>
      <c r="T1456"/>
      <c r="U1456"/>
    </row>
    <row r="1457" spans="19:21" x14ac:dyDescent="0.2">
      <c r="S1457"/>
      <c r="T1457"/>
      <c r="U1457"/>
    </row>
    <row r="1458" spans="19:21" x14ac:dyDescent="0.2">
      <c r="S1458"/>
      <c r="T1458"/>
      <c r="U1458"/>
    </row>
    <row r="1459" spans="19:21" x14ac:dyDescent="0.2">
      <c r="S1459"/>
      <c r="T1459"/>
      <c r="U1459"/>
    </row>
    <row r="1460" spans="19:21" x14ac:dyDescent="0.2">
      <c r="S1460"/>
      <c r="T1460"/>
      <c r="U1460"/>
    </row>
    <row r="1461" spans="19:21" x14ac:dyDescent="0.2">
      <c r="S1461"/>
      <c r="T1461"/>
      <c r="U1461"/>
    </row>
    <row r="1462" spans="19:21" x14ac:dyDescent="0.2">
      <c r="S1462"/>
      <c r="T1462"/>
      <c r="U1462"/>
    </row>
    <row r="1463" spans="19:21" x14ac:dyDescent="0.2">
      <c r="S1463"/>
      <c r="T1463"/>
      <c r="U1463"/>
    </row>
    <row r="1464" spans="19:21" x14ac:dyDescent="0.2">
      <c r="S1464"/>
      <c r="T1464"/>
      <c r="U1464"/>
    </row>
    <row r="1465" spans="19:21" x14ac:dyDescent="0.2">
      <c r="S1465"/>
      <c r="T1465"/>
      <c r="U1465"/>
    </row>
    <row r="1466" spans="19:21" x14ac:dyDescent="0.2">
      <c r="S1466"/>
      <c r="T1466"/>
      <c r="U1466"/>
    </row>
    <row r="1467" spans="19:21" x14ac:dyDescent="0.2">
      <c r="S1467"/>
      <c r="T1467"/>
      <c r="U1467"/>
    </row>
    <row r="1468" spans="19:21" x14ac:dyDescent="0.2">
      <c r="S1468"/>
      <c r="T1468"/>
      <c r="U1468"/>
    </row>
    <row r="1469" spans="19:21" x14ac:dyDescent="0.2">
      <c r="S1469"/>
      <c r="T1469"/>
      <c r="U1469"/>
    </row>
    <row r="1470" spans="19:21" x14ac:dyDescent="0.2">
      <c r="S1470"/>
      <c r="T1470"/>
      <c r="U1470"/>
    </row>
    <row r="1471" spans="19:21" x14ac:dyDescent="0.2">
      <c r="S1471"/>
      <c r="T1471"/>
      <c r="U1471"/>
    </row>
    <row r="1472" spans="19:21" x14ac:dyDescent="0.2">
      <c r="S1472"/>
      <c r="T1472"/>
      <c r="U1472"/>
    </row>
    <row r="1473" spans="19:21" x14ac:dyDescent="0.2">
      <c r="S1473"/>
      <c r="T1473"/>
      <c r="U1473"/>
    </row>
    <row r="1474" spans="19:21" x14ac:dyDescent="0.2">
      <c r="S1474"/>
      <c r="T1474"/>
      <c r="U1474"/>
    </row>
    <row r="1475" spans="19:21" x14ac:dyDescent="0.2">
      <c r="S1475"/>
      <c r="T1475"/>
      <c r="U1475"/>
    </row>
    <row r="1476" spans="19:21" x14ac:dyDescent="0.2">
      <c r="S1476"/>
      <c r="T1476"/>
      <c r="U1476"/>
    </row>
    <row r="1477" spans="19:21" x14ac:dyDescent="0.2">
      <c r="S1477"/>
      <c r="T1477"/>
      <c r="U1477"/>
    </row>
    <row r="1478" spans="19:21" x14ac:dyDescent="0.2">
      <c r="S1478"/>
      <c r="T1478"/>
      <c r="U1478"/>
    </row>
    <row r="1479" spans="19:21" x14ac:dyDescent="0.2">
      <c r="S1479"/>
      <c r="T1479"/>
      <c r="U1479"/>
    </row>
    <row r="1480" spans="19:21" x14ac:dyDescent="0.2">
      <c r="S1480"/>
      <c r="T1480"/>
      <c r="U1480"/>
    </row>
    <row r="1481" spans="19:21" x14ac:dyDescent="0.2">
      <c r="S1481"/>
      <c r="T1481"/>
      <c r="U1481"/>
    </row>
    <row r="1482" spans="19:21" x14ac:dyDescent="0.2">
      <c r="S1482"/>
      <c r="T1482"/>
      <c r="U1482"/>
    </row>
    <row r="1483" spans="19:21" x14ac:dyDescent="0.2">
      <c r="S1483"/>
      <c r="T1483"/>
      <c r="U1483"/>
    </row>
    <row r="1484" spans="19:21" x14ac:dyDescent="0.2">
      <c r="S1484"/>
      <c r="T1484"/>
      <c r="U1484"/>
    </row>
    <row r="1485" spans="19:21" x14ac:dyDescent="0.2">
      <c r="S1485"/>
      <c r="T1485"/>
      <c r="U1485"/>
    </row>
    <row r="1486" spans="19:21" x14ac:dyDescent="0.2">
      <c r="S1486"/>
      <c r="T1486"/>
      <c r="U1486"/>
    </row>
    <row r="1487" spans="19:21" x14ac:dyDescent="0.2">
      <c r="S1487"/>
      <c r="T1487"/>
      <c r="U1487"/>
    </row>
    <row r="1488" spans="19:21" x14ac:dyDescent="0.2">
      <c r="S1488"/>
      <c r="T1488"/>
      <c r="U1488"/>
    </row>
    <row r="1489" spans="19:21" x14ac:dyDescent="0.2">
      <c r="S1489"/>
      <c r="T1489"/>
      <c r="U1489"/>
    </row>
    <row r="1490" spans="19:21" x14ac:dyDescent="0.2">
      <c r="S1490"/>
      <c r="T1490"/>
      <c r="U1490"/>
    </row>
    <row r="1491" spans="19:21" x14ac:dyDescent="0.2">
      <c r="S1491"/>
      <c r="T1491"/>
      <c r="U1491"/>
    </row>
    <row r="1492" spans="19:21" x14ac:dyDescent="0.2">
      <c r="S1492"/>
      <c r="T1492"/>
      <c r="U1492"/>
    </row>
    <row r="1493" spans="19:21" x14ac:dyDescent="0.2">
      <c r="S1493"/>
      <c r="T1493"/>
      <c r="U1493"/>
    </row>
    <row r="1494" spans="19:21" x14ac:dyDescent="0.2">
      <c r="S1494"/>
      <c r="T1494"/>
      <c r="U1494"/>
    </row>
    <row r="1495" spans="19:21" x14ac:dyDescent="0.2">
      <c r="S1495"/>
      <c r="T1495"/>
      <c r="U1495"/>
    </row>
    <row r="1496" spans="19:21" x14ac:dyDescent="0.2">
      <c r="S1496"/>
      <c r="T1496"/>
      <c r="U1496"/>
    </row>
    <row r="1497" spans="19:21" x14ac:dyDescent="0.2">
      <c r="S1497"/>
      <c r="T1497"/>
      <c r="U1497"/>
    </row>
    <row r="1498" spans="19:21" x14ac:dyDescent="0.2">
      <c r="S1498"/>
      <c r="T1498"/>
      <c r="U1498"/>
    </row>
    <row r="1499" spans="19:21" x14ac:dyDescent="0.2">
      <c r="S1499"/>
      <c r="T1499"/>
      <c r="U1499"/>
    </row>
    <row r="1500" spans="19:21" x14ac:dyDescent="0.2">
      <c r="S1500"/>
      <c r="T1500"/>
      <c r="U1500"/>
    </row>
    <row r="1501" spans="19:21" x14ac:dyDescent="0.2">
      <c r="S1501"/>
      <c r="T1501"/>
      <c r="U1501"/>
    </row>
    <row r="1502" spans="19:21" x14ac:dyDescent="0.2">
      <c r="S1502"/>
      <c r="T1502"/>
      <c r="U1502"/>
    </row>
    <row r="1503" spans="19:21" x14ac:dyDescent="0.2">
      <c r="S1503"/>
      <c r="T1503"/>
      <c r="U1503"/>
    </row>
    <row r="1504" spans="19:21" x14ac:dyDescent="0.2">
      <c r="S1504"/>
      <c r="T1504"/>
      <c r="U1504"/>
    </row>
    <row r="1505" spans="19:21" x14ac:dyDescent="0.2">
      <c r="S1505"/>
      <c r="T1505"/>
      <c r="U1505"/>
    </row>
    <row r="1506" spans="19:21" x14ac:dyDescent="0.2">
      <c r="S1506"/>
      <c r="T1506"/>
      <c r="U1506"/>
    </row>
    <row r="1507" spans="19:21" x14ac:dyDescent="0.2">
      <c r="S1507"/>
      <c r="T1507"/>
      <c r="U1507"/>
    </row>
    <row r="1508" spans="19:21" x14ac:dyDescent="0.2">
      <c r="S1508"/>
      <c r="T1508"/>
      <c r="U1508"/>
    </row>
    <row r="1509" spans="19:21" x14ac:dyDescent="0.2">
      <c r="S1509"/>
      <c r="T1509"/>
      <c r="U1509"/>
    </row>
    <row r="1510" spans="19:21" x14ac:dyDescent="0.2">
      <c r="S1510"/>
      <c r="T1510"/>
      <c r="U1510"/>
    </row>
    <row r="1511" spans="19:21" x14ac:dyDescent="0.2">
      <c r="S1511"/>
      <c r="T1511"/>
      <c r="U1511"/>
    </row>
    <row r="1512" spans="19:21" x14ac:dyDescent="0.2">
      <c r="S1512"/>
      <c r="T1512"/>
      <c r="U1512"/>
    </row>
    <row r="1513" spans="19:21" x14ac:dyDescent="0.2">
      <c r="S1513"/>
      <c r="T1513"/>
      <c r="U1513"/>
    </row>
    <row r="1514" spans="19:21" x14ac:dyDescent="0.2">
      <c r="S1514"/>
      <c r="T1514"/>
      <c r="U1514"/>
    </row>
    <row r="1515" spans="19:21" x14ac:dyDescent="0.2">
      <c r="S1515"/>
      <c r="T1515"/>
      <c r="U1515"/>
    </row>
    <row r="1516" spans="19:21" x14ac:dyDescent="0.2">
      <c r="S1516"/>
      <c r="T1516"/>
      <c r="U1516"/>
    </row>
    <row r="1517" spans="19:21" x14ac:dyDescent="0.2">
      <c r="S1517"/>
      <c r="T1517"/>
      <c r="U1517"/>
    </row>
    <row r="1518" spans="19:21" x14ac:dyDescent="0.2">
      <c r="S1518"/>
      <c r="T1518"/>
      <c r="U1518"/>
    </row>
    <row r="1519" spans="19:21" x14ac:dyDescent="0.2">
      <c r="S1519"/>
      <c r="T1519"/>
      <c r="U1519"/>
    </row>
    <row r="1520" spans="19:21" x14ac:dyDescent="0.2">
      <c r="S1520"/>
      <c r="T1520"/>
      <c r="U1520"/>
    </row>
    <row r="1521" spans="19:21" x14ac:dyDescent="0.2">
      <c r="S1521"/>
      <c r="T1521"/>
      <c r="U1521"/>
    </row>
    <row r="1522" spans="19:21" x14ac:dyDescent="0.2">
      <c r="S1522"/>
      <c r="T1522"/>
      <c r="U1522"/>
    </row>
    <row r="1523" spans="19:21" x14ac:dyDescent="0.2">
      <c r="S1523"/>
      <c r="T1523"/>
      <c r="U1523"/>
    </row>
    <row r="1524" spans="19:21" x14ac:dyDescent="0.2">
      <c r="S1524"/>
      <c r="T1524"/>
      <c r="U1524"/>
    </row>
    <row r="1525" spans="19:21" x14ac:dyDescent="0.2">
      <c r="S1525"/>
      <c r="T1525"/>
      <c r="U1525"/>
    </row>
    <row r="1526" spans="19:21" x14ac:dyDescent="0.2">
      <c r="S1526"/>
      <c r="T1526"/>
      <c r="U1526"/>
    </row>
    <row r="1527" spans="19:21" x14ac:dyDescent="0.2">
      <c r="S1527"/>
      <c r="T1527"/>
      <c r="U1527"/>
    </row>
    <row r="1528" spans="19:21" x14ac:dyDescent="0.2">
      <c r="S1528"/>
      <c r="T1528"/>
      <c r="U1528"/>
    </row>
    <row r="1529" spans="19:21" x14ac:dyDescent="0.2">
      <c r="S1529"/>
      <c r="T1529"/>
      <c r="U1529"/>
    </row>
    <row r="1530" spans="19:21" x14ac:dyDescent="0.2">
      <c r="S1530"/>
      <c r="T1530"/>
      <c r="U1530"/>
    </row>
    <row r="1531" spans="19:21" x14ac:dyDescent="0.2">
      <c r="S1531"/>
      <c r="T1531"/>
      <c r="U1531"/>
    </row>
    <row r="1532" spans="19:21" x14ac:dyDescent="0.2">
      <c r="S1532"/>
      <c r="T1532"/>
      <c r="U1532"/>
    </row>
    <row r="1533" spans="19:21" x14ac:dyDescent="0.2">
      <c r="S1533"/>
      <c r="T1533"/>
      <c r="U1533"/>
    </row>
    <row r="1534" spans="19:21" x14ac:dyDescent="0.2">
      <c r="S1534"/>
      <c r="T1534"/>
      <c r="U1534"/>
    </row>
    <row r="1535" spans="19:21" x14ac:dyDescent="0.2">
      <c r="S1535"/>
      <c r="T1535"/>
      <c r="U1535"/>
    </row>
    <row r="1536" spans="19:21" x14ac:dyDescent="0.2">
      <c r="S1536"/>
      <c r="T1536"/>
      <c r="U1536"/>
    </row>
    <row r="1537" spans="19:21" x14ac:dyDescent="0.2">
      <c r="S1537"/>
      <c r="T1537"/>
      <c r="U1537"/>
    </row>
    <row r="1538" spans="19:21" x14ac:dyDescent="0.2">
      <c r="S1538"/>
      <c r="T1538"/>
      <c r="U1538"/>
    </row>
    <row r="1539" spans="19:21" x14ac:dyDescent="0.2">
      <c r="S1539"/>
      <c r="T1539"/>
      <c r="U1539"/>
    </row>
    <row r="1540" spans="19:21" x14ac:dyDescent="0.2">
      <c r="S1540"/>
      <c r="T1540"/>
      <c r="U1540"/>
    </row>
    <row r="1541" spans="19:21" x14ac:dyDescent="0.2">
      <c r="S1541"/>
      <c r="T1541"/>
      <c r="U1541"/>
    </row>
    <row r="1542" spans="19:21" x14ac:dyDescent="0.2">
      <c r="S1542"/>
      <c r="T1542"/>
      <c r="U1542"/>
    </row>
    <row r="1543" spans="19:21" x14ac:dyDescent="0.2">
      <c r="S1543"/>
      <c r="T1543"/>
      <c r="U1543"/>
    </row>
    <row r="1544" spans="19:21" x14ac:dyDescent="0.2">
      <c r="S1544"/>
      <c r="T1544"/>
      <c r="U1544"/>
    </row>
    <row r="1545" spans="19:21" x14ac:dyDescent="0.2">
      <c r="S1545"/>
      <c r="T1545"/>
      <c r="U1545"/>
    </row>
    <row r="1546" spans="19:21" x14ac:dyDescent="0.2">
      <c r="S1546"/>
      <c r="T1546"/>
      <c r="U1546"/>
    </row>
    <row r="1547" spans="19:21" x14ac:dyDescent="0.2">
      <c r="S1547"/>
      <c r="T1547"/>
      <c r="U1547"/>
    </row>
    <row r="1548" spans="19:21" x14ac:dyDescent="0.2">
      <c r="S1548"/>
      <c r="T1548"/>
      <c r="U1548"/>
    </row>
    <row r="1549" spans="19:21" x14ac:dyDescent="0.2">
      <c r="S1549"/>
      <c r="T1549"/>
      <c r="U1549"/>
    </row>
    <row r="1550" spans="19:21" x14ac:dyDescent="0.2">
      <c r="S1550"/>
      <c r="T1550"/>
      <c r="U1550"/>
    </row>
    <row r="1551" spans="19:21" x14ac:dyDescent="0.2">
      <c r="S1551"/>
      <c r="T1551"/>
      <c r="U1551"/>
    </row>
    <row r="1552" spans="19:21" x14ac:dyDescent="0.2">
      <c r="S1552"/>
      <c r="T1552"/>
      <c r="U1552"/>
    </row>
    <row r="1553" spans="19:21" x14ac:dyDescent="0.2">
      <c r="S1553"/>
      <c r="T1553"/>
      <c r="U1553"/>
    </row>
    <row r="1554" spans="19:21" x14ac:dyDescent="0.2">
      <c r="S1554"/>
      <c r="T1554"/>
      <c r="U1554"/>
    </row>
    <row r="1555" spans="19:21" x14ac:dyDescent="0.2">
      <c r="S1555"/>
      <c r="T1555"/>
      <c r="U1555"/>
    </row>
    <row r="1556" spans="19:21" x14ac:dyDescent="0.2">
      <c r="S1556"/>
      <c r="T1556"/>
      <c r="U1556"/>
    </row>
    <row r="1557" spans="19:21" x14ac:dyDescent="0.2">
      <c r="S1557"/>
      <c r="T1557"/>
      <c r="U1557"/>
    </row>
    <row r="1558" spans="19:21" x14ac:dyDescent="0.2">
      <c r="S1558"/>
      <c r="T1558"/>
      <c r="U1558"/>
    </row>
    <row r="1559" spans="19:21" x14ac:dyDescent="0.2">
      <c r="S1559"/>
      <c r="T1559"/>
      <c r="U1559"/>
    </row>
    <row r="1560" spans="19:21" x14ac:dyDescent="0.2">
      <c r="S1560"/>
      <c r="T1560"/>
      <c r="U1560"/>
    </row>
    <row r="1561" spans="19:21" x14ac:dyDescent="0.2">
      <c r="S1561"/>
      <c r="T1561"/>
      <c r="U1561"/>
    </row>
    <row r="1562" spans="19:21" x14ac:dyDescent="0.2">
      <c r="S1562"/>
      <c r="T1562"/>
      <c r="U1562"/>
    </row>
    <row r="1563" spans="19:21" x14ac:dyDescent="0.2">
      <c r="S1563"/>
      <c r="T1563"/>
      <c r="U1563"/>
    </row>
    <row r="1564" spans="19:21" x14ac:dyDescent="0.2">
      <c r="S1564"/>
      <c r="T1564"/>
      <c r="U1564"/>
    </row>
    <row r="1565" spans="19:21" x14ac:dyDescent="0.2">
      <c r="S1565"/>
      <c r="T1565"/>
      <c r="U1565"/>
    </row>
    <row r="1566" spans="19:21" x14ac:dyDescent="0.2">
      <c r="S1566"/>
      <c r="T1566"/>
      <c r="U1566"/>
    </row>
    <row r="1567" spans="19:21" x14ac:dyDescent="0.2">
      <c r="S1567"/>
      <c r="T1567"/>
      <c r="U1567"/>
    </row>
    <row r="1568" spans="19:21" x14ac:dyDescent="0.2">
      <c r="S1568"/>
      <c r="T1568"/>
      <c r="U1568"/>
    </row>
    <row r="1569" spans="19:21" x14ac:dyDescent="0.2">
      <c r="S1569"/>
      <c r="T1569"/>
      <c r="U1569"/>
    </row>
    <row r="1570" spans="19:21" x14ac:dyDescent="0.2">
      <c r="S1570"/>
      <c r="T1570"/>
      <c r="U1570"/>
    </row>
    <row r="1571" spans="19:21" x14ac:dyDescent="0.2">
      <c r="S1571"/>
      <c r="T1571"/>
      <c r="U1571"/>
    </row>
    <row r="1572" spans="19:21" x14ac:dyDescent="0.2">
      <c r="S1572"/>
      <c r="T1572"/>
      <c r="U1572"/>
    </row>
    <row r="1573" spans="19:21" x14ac:dyDescent="0.2">
      <c r="S1573"/>
      <c r="T1573"/>
      <c r="U1573"/>
    </row>
    <row r="1574" spans="19:21" x14ac:dyDescent="0.2">
      <c r="S1574"/>
      <c r="T1574"/>
      <c r="U1574"/>
    </row>
    <row r="1575" spans="19:21" x14ac:dyDescent="0.2">
      <c r="S1575"/>
      <c r="T1575"/>
      <c r="U1575"/>
    </row>
    <row r="1576" spans="19:21" x14ac:dyDescent="0.2">
      <c r="S1576"/>
      <c r="T1576"/>
      <c r="U1576"/>
    </row>
    <row r="1577" spans="19:21" x14ac:dyDescent="0.2">
      <c r="S1577"/>
      <c r="T1577"/>
      <c r="U1577"/>
    </row>
    <row r="1578" spans="19:21" x14ac:dyDescent="0.2">
      <c r="S1578"/>
      <c r="T1578"/>
      <c r="U1578"/>
    </row>
    <row r="1579" spans="19:21" x14ac:dyDescent="0.2">
      <c r="S1579"/>
      <c r="T1579"/>
      <c r="U1579"/>
    </row>
    <row r="1580" spans="19:21" x14ac:dyDescent="0.2">
      <c r="S1580"/>
      <c r="T1580"/>
      <c r="U1580"/>
    </row>
    <row r="1581" spans="19:21" x14ac:dyDescent="0.2">
      <c r="S1581"/>
      <c r="T1581"/>
      <c r="U1581"/>
    </row>
    <row r="1582" spans="19:21" x14ac:dyDescent="0.2">
      <c r="S1582"/>
      <c r="T1582"/>
      <c r="U1582"/>
    </row>
    <row r="1583" spans="19:21" x14ac:dyDescent="0.2">
      <c r="S1583"/>
      <c r="T1583"/>
      <c r="U1583"/>
    </row>
    <row r="1584" spans="19:21" x14ac:dyDescent="0.2">
      <c r="S1584"/>
      <c r="T1584"/>
      <c r="U1584"/>
    </row>
    <row r="1585" spans="19:21" x14ac:dyDescent="0.2">
      <c r="S1585"/>
      <c r="T1585"/>
      <c r="U1585"/>
    </row>
    <row r="1586" spans="19:21" x14ac:dyDescent="0.2">
      <c r="S1586"/>
      <c r="T1586"/>
      <c r="U1586"/>
    </row>
    <row r="1587" spans="19:21" x14ac:dyDescent="0.2">
      <c r="S1587"/>
      <c r="T1587"/>
      <c r="U1587"/>
    </row>
    <row r="1588" spans="19:21" x14ac:dyDescent="0.2">
      <c r="S1588"/>
      <c r="T1588"/>
      <c r="U1588"/>
    </row>
    <row r="1589" spans="19:21" x14ac:dyDescent="0.2">
      <c r="S1589"/>
      <c r="T1589"/>
      <c r="U1589"/>
    </row>
    <row r="1590" spans="19:21" x14ac:dyDescent="0.2">
      <c r="S1590"/>
      <c r="T1590"/>
      <c r="U1590"/>
    </row>
    <row r="1591" spans="19:21" x14ac:dyDescent="0.2">
      <c r="S1591"/>
      <c r="T1591"/>
      <c r="U1591"/>
    </row>
    <row r="1592" spans="19:21" x14ac:dyDescent="0.2">
      <c r="S1592"/>
      <c r="T1592"/>
      <c r="U1592"/>
    </row>
    <row r="1593" spans="19:21" x14ac:dyDescent="0.2">
      <c r="S1593"/>
      <c r="T1593"/>
      <c r="U1593"/>
    </row>
    <row r="1594" spans="19:21" x14ac:dyDescent="0.2">
      <c r="S1594"/>
      <c r="T1594"/>
      <c r="U1594"/>
    </row>
    <row r="1595" spans="19:21" x14ac:dyDescent="0.2">
      <c r="S1595"/>
      <c r="T1595"/>
      <c r="U1595"/>
    </row>
    <row r="1596" spans="19:21" x14ac:dyDescent="0.2">
      <c r="S1596"/>
      <c r="T1596"/>
      <c r="U1596"/>
    </row>
    <row r="1597" spans="19:21" x14ac:dyDescent="0.2">
      <c r="S1597"/>
      <c r="T1597"/>
      <c r="U1597"/>
    </row>
    <row r="1598" spans="19:21" x14ac:dyDescent="0.2">
      <c r="S1598"/>
      <c r="T1598"/>
      <c r="U1598"/>
    </row>
    <row r="1599" spans="19:21" x14ac:dyDescent="0.2">
      <c r="S1599"/>
      <c r="T1599"/>
      <c r="U1599"/>
    </row>
    <row r="1600" spans="19:21" x14ac:dyDescent="0.2">
      <c r="S1600"/>
      <c r="T1600"/>
      <c r="U1600"/>
    </row>
    <row r="1601" spans="19:21" x14ac:dyDescent="0.2">
      <c r="S1601"/>
      <c r="T1601"/>
      <c r="U1601"/>
    </row>
    <row r="1602" spans="19:21" x14ac:dyDescent="0.2">
      <c r="S1602"/>
      <c r="T1602"/>
      <c r="U1602"/>
    </row>
    <row r="1603" spans="19:21" x14ac:dyDescent="0.2">
      <c r="S1603"/>
      <c r="T1603"/>
      <c r="U1603"/>
    </row>
    <row r="1604" spans="19:21" x14ac:dyDescent="0.2">
      <c r="S1604"/>
      <c r="T1604"/>
      <c r="U1604"/>
    </row>
    <row r="1605" spans="19:21" x14ac:dyDescent="0.2">
      <c r="S1605"/>
      <c r="T1605"/>
      <c r="U1605"/>
    </row>
    <row r="1606" spans="19:21" x14ac:dyDescent="0.2">
      <c r="S1606"/>
      <c r="T1606"/>
      <c r="U1606"/>
    </row>
    <row r="1607" spans="19:21" x14ac:dyDescent="0.2">
      <c r="S1607"/>
      <c r="T1607"/>
      <c r="U1607"/>
    </row>
    <row r="1608" spans="19:21" x14ac:dyDescent="0.2">
      <c r="S1608"/>
      <c r="T1608"/>
      <c r="U1608"/>
    </row>
    <row r="1609" spans="19:21" x14ac:dyDescent="0.2">
      <c r="S1609"/>
      <c r="T1609"/>
      <c r="U1609"/>
    </row>
    <row r="1610" spans="19:21" x14ac:dyDescent="0.2">
      <c r="S1610"/>
      <c r="T1610"/>
      <c r="U1610"/>
    </row>
    <row r="1611" spans="19:21" x14ac:dyDescent="0.2">
      <c r="S1611"/>
      <c r="T1611"/>
      <c r="U1611"/>
    </row>
    <row r="1612" spans="19:21" x14ac:dyDescent="0.2">
      <c r="S1612"/>
      <c r="T1612"/>
      <c r="U1612"/>
    </row>
    <row r="1613" spans="19:21" x14ac:dyDescent="0.2">
      <c r="S1613"/>
      <c r="T1613"/>
      <c r="U1613"/>
    </row>
    <row r="1614" spans="19:21" x14ac:dyDescent="0.2">
      <c r="S1614"/>
      <c r="T1614"/>
      <c r="U1614"/>
    </row>
    <row r="1615" spans="19:21" x14ac:dyDescent="0.2">
      <c r="S1615"/>
      <c r="T1615"/>
      <c r="U1615"/>
    </row>
    <row r="1616" spans="19:21" x14ac:dyDescent="0.2">
      <c r="S1616"/>
      <c r="T1616"/>
      <c r="U1616"/>
    </row>
    <row r="1617" spans="19:21" x14ac:dyDescent="0.2">
      <c r="S1617"/>
      <c r="T1617"/>
      <c r="U1617"/>
    </row>
    <row r="1618" spans="19:21" x14ac:dyDescent="0.2">
      <c r="S1618"/>
      <c r="T1618"/>
      <c r="U1618"/>
    </row>
    <row r="1619" spans="19:21" x14ac:dyDescent="0.2">
      <c r="S1619"/>
      <c r="T1619"/>
      <c r="U1619"/>
    </row>
    <row r="1620" spans="19:21" x14ac:dyDescent="0.2">
      <c r="S1620"/>
      <c r="T1620"/>
      <c r="U1620"/>
    </row>
    <row r="1621" spans="19:21" x14ac:dyDescent="0.2">
      <c r="S1621"/>
      <c r="T1621"/>
      <c r="U1621"/>
    </row>
    <row r="1622" spans="19:21" x14ac:dyDescent="0.2">
      <c r="S1622"/>
      <c r="T1622"/>
      <c r="U1622"/>
    </row>
    <row r="1623" spans="19:21" x14ac:dyDescent="0.2">
      <c r="S1623"/>
      <c r="T1623"/>
      <c r="U1623"/>
    </row>
    <row r="1624" spans="19:21" x14ac:dyDescent="0.2">
      <c r="S1624"/>
      <c r="T1624"/>
      <c r="U1624"/>
    </row>
    <row r="1625" spans="19:21" x14ac:dyDescent="0.2">
      <c r="S1625"/>
      <c r="T1625"/>
      <c r="U1625"/>
    </row>
    <row r="1626" spans="19:21" x14ac:dyDescent="0.2">
      <c r="S1626"/>
      <c r="T1626"/>
      <c r="U1626"/>
    </row>
    <row r="1627" spans="19:21" x14ac:dyDescent="0.2">
      <c r="S1627"/>
      <c r="T1627"/>
      <c r="U1627"/>
    </row>
    <row r="1628" spans="19:21" x14ac:dyDescent="0.2">
      <c r="S1628"/>
      <c r="T1628"/>
      <c r="U1628"/>
    </row>
    <row r="1629" spans="19:21" x14ac:dyDescent="0.2">
      <c r="S1629"/>
      <c r="T1629"/>
      <c r="U1629"/>
    </row>
    <row r="1630" spans="19:21" x14ac:dyDescent="0.2">
      <c r="S1630"/>
      <c r="T1630"/>
      <c r="U1630"/>
    </row>
    <row r="1631" spans="19:21" x14ac:dyDescent="0.2">
      <c r="S1631"/>
      <c r="T1631"/>
      <c r="U1631"/>
    </row>
    <row r="1632" spans="19:21" x14ac:dyDescent="0.2">
      <c r="S1632"/>
      <c r="T1632"/>
      <c r="U1632"/>
    </row>
    <row r="1633" spans="19:21" x14ac:dyDescent="0.2">
      <c r="S1633"/>
      <c r="T1633"/>
      <c r="U1633"/>
    </row>
    <row r="1634" spans="19:21" x14ac:dyDescent="0.2">
      <c r="S1634"/>
      <c r="T1634"/>
      <c r="U1634"/>
    </row>
    <row r="1635" spans="19:21" x14ac:dyDescent="0.2">
      <c r="S1635"/>
      <c r="T1635"/>
      <c r="U1635"/>
    </row>
    <row r="1636" spans="19:21" x14ac:dyDescent="0.2">
      <c r="S1636"/>
      <c r="T1636"/>
      <c r="U1636"/>
    </row>
    <row r="1637" spans="19:21" x14ac:dyDescent="0.2">
      <c r="S1637"/>
      <c r="T1637"/>
      <c r="U1637"/>
    </row>
    <row r="1638" spans="19:21" x14ac:dyDescent="0.2">
      <c r="S1638"/>
      <c r="T1638"/>
      <c r="U1638"/>
    </row>
    <row r="1639" spans="19:21" x14ac:dyDescent="0.2">
      <c r="S1639"/>
      <c r="T1639"/>
      <c r="U1639"/>
    </row>
    <row r="1640" spans="19:21" x14ac:dyDescent="0.2">
      <c r="S1640"/>
      <c r="T1640"/>
      <c r="U1640"/>
    </row>
    <row r="1641" spans="19:21" x14ac:dyDescent="0.2">
      <c r="S1641"/>
      <c r="T1641"/>
      <c r="U1641"/>
    </row>
    <row r="1642" spans="19:21" x14ac:dyDescent="0.2">
      <c r="S1642"/>
      <c r="T1642"/>
      <c r="U1642"/>
    </row>
    <row r="1643" spans="19:21" x14ac:dyDescent="0.2">
      <c r="S1643"/>
      <c r="T1643"/>
      <c r="U1643"/>
    </row>
    <row r="1644" spans="19:21" x14ac:dyDescent="0.2">
      <c r="S1644"/>
      <c r="T1644"/>
      <c r="U1644"/>
    </row>
    <row r="1645" spans="19:21" x14ac:dyDescent="0.2">
      <c r="S1645"/>
      <c r="T1645"/>
      <c r="U1645"/>
    </row>
    <row r="1646" spans="19:21" x14ac:dyDescent="0.2">
      <c r="S1646"/>
      <c r="T1646"/>
      <c r="U1646"/>
    </row>
    <row r="1647" spans="19:21" x14ac:dyDescent="0.2">
      <c r="S1647"/>
      <c r="T1647"/>
      <c r="U1647"/>
    </row>
    <row r="1648" spans="19:21" x14ac:dyDescent="0.2">
      <c r="S1648"/>
      <c r="T1648"/>
      <c r="U1648"/>
    </row>
    <row r="1649" spans="19:21" x14ac:dyDescent="0.2">
      <c r="S1649"/>
      <c r="T1649"/>
      <c r="U1649"/>
    </row>
    <row r="1650" spans="19:21" x14ac:dyDescent="0.2">
      <c r="S1650"/>
      <c r="T1650"/>
      <c r="U1650"/>
    </row>
    <row r="1651" spans="19:21" x14ac:dyDescent="0.2">
      <c r="S1651"/>
      <c r="T1651"/>
      <c r="U1651"/>
    </row>
    <row r="1652" spans="19:21" x14ac:dyDescent="0.2">
      <c r="S1652"/>
      <c r="T1652"/>
      <c r="U1652"/>
    </row>
    <row r="1653" spans="19:21" x14ac:dyDescent="0.2">
      <c r="S1653"/>
      <c r="T1653"/>
      <c r="U1653"/>
    </row>
    <row r="1654" spans="19:21" x14ac:dyDescent="0.2">
      <c r="S1654"/>
      <c r="T1654"/>
      <c r="U1654"/>
    </row>
    <row r="1655" spans="19:21" x14ac:dyDescent="0.2">
      <c r="S1655"/>
      <c r="T1655"/>
      <c r="U1655"/>
    </row>
    <row r="1656" spans="19:21" x14ac:dyDescent="0.2">
      <c r="S1656"/>
      <c r="T1656"/>
      <c r="U1656"/>
    </row>
    <row r="1657" spans="19:21" x14ac:dyDescent="0.2">
      <c r="S1657"/>
      <c r="T1657"/>
      <c r="U1657"/>
    </row>
    <row r="1658" spans="19:21" x14ac:dyDescent="0.2">
      <c r="S1658"/>
      <c r="T1658"/>
      <c r="U1658"/>
    </row>
    <row r="1659" spans="19:21" x14ac:dyDescent="0.2">
      <c r="S1659"/>
      <c r="T1659"/>
      <c r="U1659"/>
    </row>
    <row r="1660" spans="19:21" x14ac:dyDescent="0.2">
      <c r="S1660"/>
      <c r="T1660"/>
      <c r="U1660"/>
    </row>
    <row r="1661" spans="19:21" x14ac:dyDescent="0.2">
      <c r="S1661"/>
      <c r="T1661"/>
      <c r="U1661"/>
    </row>
    <row r="1662" spans="19:21" x14ac:dyDescent="0.2">
      <c r="S1662"/>
      <c r="T1662"/>
      <c r="U1662"/>
    </row>
    <row r="1663" spans="19:21" x14ac:dyDescent="0.2">
      <c r="S1663"/>
      <c r="T1663"/>
      <c r="U1663"/>
    </row>
    <row r="1664" spans="19:21" x14ac:dyDescent="0.2">
      <c r="S1664"/>
      <c r="T1664"/>
      <c r="U1664"/>
    </row>
    <row r="1665" spans="19:21" x14ac:dyDescent="0.2">
      <c r="S1665"/>
      <c r="T1665"/>
      <c r="U1665"/>
    </row>
    <row r="1666" spans="19:21" x14ac:dyDescent="0.2">
      <c r="S1666"/>
      <c r="T1666"/>
      <c r="U1666"/>
    </row>
    <row r="1667" spans="19:21" x14ac:dyDescent="0.2">
      <c r="S1667"/>
      <c r="T1667"/>
      <c r="U1667"/>
    </row>
    <row r="1668" spans="19:21" x14ac:dyDescent="0.2">
      <c r="S1668"/>
      <c r="T1668"/>
      <c r="U1668"/>
    </row>
    <row r="1669" spans="19:21" x14ac:dyDescent="0.2">
      <c r="S1669"/>
      <c r="T1669"/>
      <c r="U1669"/>
    </row>
    <row r="1670" spans="19:21" x14ac:dyDescent="0.2">
      <c r="S1670"/>
      <c r="T1670"/>
      <c r="U1670"/>
    </row>
    <row r="1671" spans="19:21" x14ac:dyDescent="0.2">
      <c r="S1671"/>
      <c r="T1671"/>
      <c r="U1671"/>
    </row>
    <row r="1672" spans="19:21" x14ac:dyDescent="0.2">
      <c r="S1672"/>
      <c r="T1672"/>
      <c r="U1672"/>
    </row>
    <row r="1673" spans="19:21" x14ac:dyDescent="0.2">
      <c r="S1673"/>
      <c r="T1673"/>
      <c r="U1673"/>
    </row>
    <row r="1674" spans="19:21" x14ac:dyDescent="0.2">
      <c r="S1674"/>
      <c r="T1674"/>
      <c r="U1674"/>
    </row>
    <row r="1675" spans="19:21" x14ac:dyDescent="0.2">
      <c r="S1675"/>
      <c r="T1675"/>
      <c r="U1675"/>
    </row>
    <row r="1676" spans="19:21" x14ac:dyDescent="0.2">
      <c r="S1676"/>
      <c r="T1676"/>
      <c r="U1676"/>
    </row>
    <row r="1677" spans="19:21" x14ac:dyDescent="0.2">
      <c r="S1677"/>
      <c r="T1677"/>
      <c r="U1677"/>
    </row>
    <row r="1678" spans="19:21" x14ac:dyDescent="0.2">
      <c r="S1678"/>
      <c r="T1678"/>
      <c r="U1678"/>
    </row>
    <row r="1679" spans="19:21" x14ac:dyDescent="0.2">
      <c r="S1679"/>
      <c r="T1679"/>
      <c r="U1679"/>
    </row>
    <row r="1680" spans="19:21" x14ac:dyDescent="0.2">
      <c r="S1680"/>
      <c r="T1680"/>
      <c r="U1680"/>
    </row>
    <row r="1681" spans="19:21" x14ac:dyDescent="0.2">
      <c r="S1681"/>
      <c r="T1681"/>
      <c r="U1681"/>
    </row>
    <row r="1682" spans="19:21" x14ac:dyDescent="0.2">
      <c r="S1682"/>
      <c r="T1682"/>
      <c r="U1682"/>
    </row>
    <row r="1683" spans="19:21" x14ac:dyDescent="0.2">
      <c r="S1683"/>
      <c r="T1683"/>
      <c r="U1683"/>
    </row>
    <row r="1684" spans="19:21" x14ac:dyDescent="0.2">
      <c r="S1684"/>
      <c r="T1684"/>
      <c r="U1684"/>
    </row>
    <row r="1685" spans="19:21" x14ac:dyDescent="0.2">
      <c r="S1685"/>
      <c r="T1685"/>
      <c r="U1685"/>
    </row>
    <row r="1686" spans="19:21" x14ac:dyDescent="0.2">
      <c r="S1686"/>
      <c r="T1686"/>
      <c r="U1686"/>
    </row>
    <row r="1687" spans="19:21" x14ac:dyDescent="0.2">
      <c r="S1687"/>
      <c r="T1687"/>
      <c r="U1687"/>
    </row>
    <row r="1688" spans="19:21" x14ac:dyDescent="0.2">
      <c r="S1688"/>
      <c r="T1688"/>
      <c r="U1688"/>
    </row>
    <row r="1689" spans="19:21" x14ac:dyDescent="0.2">
      <c r="S1689"/>
      <c r="T1689"/>
      <c r="U1689"/>
    </row>
    <row r="1690" spans="19:21" x14ac:dyDescent="0.2">
      <c r="S1690"/>
      <c r="T1690"/>
      <c r="U1690"/>
    </row>
    <row r="1691" spans="19:21" x14ac:dyDescent="0.2">
      <c r="S1691"/>
      <c r="T1691"/>
      <c r="U1691"/>
    </row>
    <row r="1692" spans="19:21" x14ac:dyDescent="0.2">
      <c r="S1692"/>
      <c r="T1692"/>
      <c r="U1692"/>
    </row>
    <row r="1693" spans="19:21" x14ac:dyDescent="0.2">
      <c r="S1693"/>
      <c r="T1693"/>
      <c r="U1693"/>
    </row>
    <row r="1694" spans="19:21" x14ac:dyDescent="0.2">
      <c r="S1694"/>
      <c r="T1694"/>
      <c r="U1694"/>
    </row>
    <row r="1695" spans="19:21" x14ac:dyDescent="0.2">
      <c r="S1695"/>
      <c r="T1695"/>
      <c r="U1695"/>
    </row>
    <row r="1696" spans="19:21" x14ac:dyDescent="0.2">
      <c r="S1696"/>
      <c r="T1696"/>
      <c r="U1696"/>
    </row>
    <row r="1697" spans="19:21" x14ac:dyDescent="0.2">
      <c r="S1697"/>
      <c r="T1697"/>
      <c r="U1697"/>
    </row>
    <row r="1698" spans="19:21" x14ac:dyDescent="0.2">
      <c r="S1698"/>
      <c r="T1698"/>
      <c r="U1698"/>
    </row>
    <row r="1699" spans="19:21" x14ac:dyDescent="0.2">
      <c r="S1699"/>
      <c r="T1699"/>
      <c r="U1699"/>
    </row>
    <row r="1700" spans="19:21" x14ac:dyDescent="0.2">
      <c r="S1700"/>
      <c r="T1700"/>
      <c r="U1700"/>
    </row>
    <row r="1701" spans="19:21" x14ac:dyDescent="0.2">
      <c r="S1701"/>
      <c r="T1701"/>
      <c r="U1701"/>
    </row>
    <row r="1702" spans="19:21" x14ac:dyDescent="0.2">
      <c r="S1702"/>
      <c r="T1702"/>
      <c r="U1702"/>
    </row>
    <row r="1703" spans="19:21" x14ac:dyDescent="0.2">
      <c r="S1703"/>
      <c r="T1703"/>
      <c r="U1703"/>
    </row>
    <row r="1704" spans="19:21" x14ac:dyDescent="0.2">
      <c r="S1704"/>
      <c r="T1704"/>
      <c r="U1704"/>
    </row>
    <row r="1705" spans="19:21" x14ac:dyDescent="0.2">
      <c r="S1705"/>
      <c r="T1705"/>
      <c r="U1705"/>
    </row>
    <row r="1706" spans="19:21" x14ac:dyDescent="0.2">
      <c r="S1706"/>
      <c r="T1706"/>
      <c r="U1706"/>
    </row>
    <row r="1707" spans="19:21" x14ac:dyDescent="0.2">
      <c r="S1707"/>
      <c r="T1707"/>
      <c r="U1707"/>
    </row>
    <row r="1708" spans="19:21" x14ac:dyDescent="0.2">
      <c r="S1708"/>
      <c r="T1708"/>
      <c r="U1708"/>
    </row>
    <row r="1709" spans="19:21" x14ac:dyDescent="0.2">
      <c r="S1709"/>
      <c r="T1709"/>
      <c r="U1709"/>
    </row>
    <row r="1710" spans="19:21" x14ac:dyDescent="0.2">
      <c r="S1710"/>
      <c r="T1710"/>
      <c r="U1710"/>
    </row>
    <row r="1711" spans="19:21" x14ac:dyDescent="0.2">
      <c r="S1711"/>
      <c r="T1711"/>
      <c r="U1711"/>
    </row>
    <row r="1712" spans="19:21" x14ac:dyDescent="0.2">
      <c r="S1712"/>
      <c r="T1712"/>
      <c r="U1712"/>
    </row>
    <row r="1713" spans="19:21" x14ac:dyDescent="0.2">
      <c r="S1713"/>
      <c r="T1713"/>
      <c r="U1713"/>
    </row>
    <row r="1714" spans="19:21" x14ac:dyDescent="0.2">
      <c r="S1714"/>
      <c r="T1714"/>
      <c r="U1714"/>
    </row>
    <row r="1715" spans="19:21" x14ac:dyDescent="0.2">
      <c r="S1715"/>
      <c r="T1715"/>
      <c r="U1715"/>
    </row>
    <row r="1716" spans="19:21" x14ac:dyDescent="0.2">
      <c r="S1716"/>
      <c r="T1716"/>
      <c r="U1716"/>
    </row>
    <row r="1717" spans="19:21" x14ac:dyDescent="0.2">
      <c r="S1717"/>
      <c r="T1717"/>
      <c r="U1717"/>
    </row>
    <row r="1718" spans="19:21" x14ac:dyDescent="0.2">
      <c r="S1718"/>
      <c r="T1718"/>
      <c r="U1718"/>
    </row>
    <row r="1719" spans="19:21" x14ac:dyDescent="0.2">
      <c r="S1719"/>
      <c r="T1719"/>
      <c r="U1719"/>
    </row>
    <row r="1720" spans="19:21" x14ac:dyDescent="0.2">
      <c r="S1720"/>
      <c r="T1720"/>
      <c r="U1720"/>
    </row>
    <row r="1721" spans="19:21" x14ac:dyDescent="0.2">
      <c r="S1721"/>
      <c r="T1721"/>
      <c r="U1721"/>
    </row>
    <row r="1722" spans="19:21" x14ac:dyDescent="0.2">
      <c r="S1722"/>
      <c r="T1722"/>
      <c r="U1722"/>
    </row>
    <row r="1723" spans="19:21" x14ac:dyDescent="0.2">
      <c r="S1723"/>
      <c r="T1723"/>
      <c r="U1723"/>
    </row>
    <row r="1724" spans="19:21" x14ac:dyDescent="0.2">
      <c r="S1724"/>
      <c r="T1724"/>
      <c r="U1724"/>
    </row>
    <row r="1725" spans="19:21" x14ac:dyDescent="0.2">
      <c r="S1725"/>
      <c r="T1725"/>
      <c r="U1725"/>
    </row>
    <row r="1726" spans="19:21" x14ac:dyDescent="0.2">
      <c r="S1726"/>
      <c r="T1726"/>
      <c r="U1726"/>
    </row>
    <row r="1727" spans="19:21" x14ac:dyDescent="0.2">
      <c r="S1727"/>
      <c r="T1727"/>
      <c r="U1727"/>
    </row>
    <row r="1728" spans="19:21" x14ac:dyDescent="0.2">
      <c r="S1728"/>
      <c r="T1728"/>
      <c r="U1728"/>
    </row>
    <row r="1729" spans="19:21" x14ac:dyDescent="0.2">
      <c r="S1729"/>
      <c r="T1729"/>
      <c r="U1729"/>
    </row>
    <row r="1730" spans="19:21" x14ac:dyDescent="0.2">
      <c r="S1730"/>
      <c r="T1730"/>
      <c r="U1730"/>
    </row>
    <row r="1731" spans="19:21" x14ac:dyDescent="0.2">
      <c r="S1731"/>
      <c r="T1731"/>
      <c r="U1731"/>
    </row>
    <row r="1732" spans="19:21" x14ac:dyDescent="0.2">
      <c r="S1732"/>
      <c r="T1732"/>
      <c r="U1732"/>
    </row>
    <row r="1733" spans="19:21" x14ac:dyDescent="0.2">
      <c r="S1733"/>
      <c r="T1733"/>
      <c r="U1733"/>
    </row>
    <row r="1734" spans="19:21" x14ac:dyDescent="0.2">
      <c r="S1734"/>
      <c r="T1734"/>
      <c r="U1734"/>
    </row>
    <row r="1735" spans="19:21" x14ac:dyDescent="0.2">
      <c r="S1735"/>
      <c r="T1735"/>
      <c r="U1735"/>
    </row>
    <row r="1736" spans="19:21" x14ac:dyDescent="0.2">
      <c r="S1736"/>
      <c r="T1736"/>
      <c r="U1736"/>
    </row>
    <row r="1737" spans="19:21" x14ac:dyDescent="0.2">
      <c r="S1737"/>
      <c r="T1737"/>
      <c r="U1737"/>
    </row>
    <row r="1738" spans="19:21" x14ac:dyDescent="0.2">
      <c r="S1738"/>
      <c r="T1738"/>
      <c r="U1738"/>
    </row>
    <row r="1739" spans="19:21" x14ac:dyDescent="0.2">
      <c r="S1739"/>
      <c r="T1739"/>
      <c r="U1739"/>
    </row>
    <row r="1740" spans="19:21" x14ac:dyDescent="0.2">
      <c r="S1740"/>
      <c r="T1740"/>
      <c r="U1740"/>
    </row>
    <row r="1741" spans="19:21" x14ac:dyDescent="0.2">
      <c r="S1741"/>
      <c r="T1741"/>
      <c r="U1741"/>
    </row>
    <row r="1742" spans="19:21" x14ac:dyDescent="0.2">
      <c r="S1742"/>
      <c r="T1742"/>
      <c r="U1742"/>
    </row>
    <row r="1743" spans="19:21" x14ac:dyDescent="0.2">
      <c r="S1743"/>
      <c r="T1743"/>
      <c r="U1743"/>
    </row>
    <row r="1744" spans="19:21" x14ac:dyDescent="0.2">
      <c r="S1744"/>
      <c r="T1744"/>
      <c r="U1744"/>
    </row>
    <row r="1745" spans="19:21" x14ac:dyDescent="0.2">
      <c r="S1745"/>
      <c r="T1745"/>
      <c r="U1745"/>
    </row>
    <row r="1746" spans="19:21" x14ac:dyDescent="0.2">
      <c r="S1746"/>
      <c r="T1746"/>
      <c r="U1746"/>
    </row>
    <row r="1747" spans="19:21" x14ac:dyDescent="0.2">
      <c r="S1747"/>
      <c r="T1747"/>
      <c r="U1747"/>
    </row>
    <row r="1748" spans="19:21" x14ac:dyDescent="0.2">
      <c r="S1748"/>
      <c r="T1748"/>
      <c r="U1748"/>
    </row>
    <row r="1749" spans="19:21" x14ac:dyDescent="0.2">
      <c r="S1749"/>
      <c r="T1749"/>
      <c r="U1749"/>
    </row>
    <row r="1750" spans="19:21" x14ac:dyDescent="0.2">
      <c r="S1750"/>
      <c r="T1750"/>
      <c r="U1750"/>
    </row>
    <row r="1751" spans="19:21" x14ac:dyDescent="0.2">
      <c r="S1751"/>
      <c r="T1751"/>
      <c r="U1751"/>
    </row>
    <row r="1752" spans="19:21" x14ac:dyDescent="0.2">
      <c r="S1752"/>
      <c r="T1752"/>
      <c r="U1752"/>
    </row>
    <row r="1753" spans="19:21" x14ac:dyDescent="0.2">
      <c r="S1753"/>
      <c r="T1753"/>
      <c r="U1753"/>
    </row>
    <row r="1754" spans="19:21" x14ac:dyDescent="0.2">
      <c r="S1754"/>
      <c r="T1754"/>
      <c r="U1754"/>
    </row>
    <row r="1755" spans="19:21" x14ac:dyDescent="0.2">
      <c r="S1755"/>
      <c r="T1755"/>
      <c r="U1755"/>
    </row>
    <row r="1756" spans="19:21" x14ac:dyDescent="0.2">
      <c r="S1756"/>
      <c r="T1756"/>
      <c r="U1756"/>
    </row>
    <row r="1757" spans="19:21" x14ac:dyDescent="0.2">
      <c r="S1757"/>
      <c r="T1757"/>
      <c r="U1757"/>
    </row>
    <row r="1758" spans="19:21" x14ac:dyDescent="0.2">
      <c r="S1758"/>
      <c r="T1758"/>
      <c r="U1758"/>
    </row>
    <row r="1759" spans="19:21" x14ac:dyDescent="0.2">
      <c r="S1759"/>
      <c r="T1759"/>
      <c r="U1759"/>
    </row>
    <row r="1760" spans="19:21" x14ac:dyDescent="0.2">
      <c r="S1760"/>
      <c r="T1760"/>
      <c r="U1760"/>
    </row>
    <row r="1761" spans="19:21" x14ac:dyDescent="0.2">
      <c r="S1761"/>
      <c r="T1761"/>
      <c r="U1761"/>
    </row>
    <row r="1762" spans="19:21" x14ac:dyDescent="0.2">
      <c r="S1762"/>
      <c r="T1762"/>
      <c r="U1762"/>
    </row>
    <row r="1763" spans="19:21" x14ac:dyDescent="0.2">
      <c r="S1763"/>
      <c r="T1763"/>
      <c r="U1763"/>
    </row>
    <row r="1764" spans="19:21" x14ac:dyDescent="0.2">
      <c r="S1764"/>
      <c r="T1764"/>
      <c r="U1764"/>
    </row>
    <row r="1765" spans="19:21" x14ac:dyDescent="0.2">
      <c r="S1765"/>
      <c r="T1765"/>
      <c r="U1765"/>
    </row>
    <row r="1766" spans="19:21" x14ac:dyDescent="0.2">
      <c r="S1766"/>
      <c r="T1766"/>
      <c r="U1766"/>
    </row>
    <row r="1767" spans="19:21" x14ac:dyDescent="0.2">
      <c r="S1767"/>
      <c r="T1767"/>
      <c r="U1767"/>
    </row>
    <row r="1768" spans="19:21" x14ac:dyDescent="0.2">
      <c r="S1768"/>
      <c r="T1768"/>
      <c r="U1768"/>
    </row>
    <row r="1769" spans="19:21" x14ac:dyDescent="0.2">
      <c r="S1769"/>
      <c r="T1769"/>
      <c r="U1769"/>
    </row>
    <row r="1770" spans="19:21" x14ac:dyDescent="0.2">
      <c r="S1770"/>
      <c r="T1770"/>
      <c r="U1770"/>
    </row>
    <row r="1771" spans="19:21" x14ac:dyDescent="0.2">
      <c r="S1771"/>
      <c r="T1771"/>
      <c r="U1771"/>
    </row>
    <row r="1772" spans="19:21" x14ac:dyDescent="0.2">
      <c r="S1772"/>
      <c r="T1772"/>
      <c r="U1772"/>
    </row>
    <row r="1773" spans="19:21" x14ac:dyDescent="0.2">
      <c r="S1773"/>
      <c r="T1773"/>
      <c r="U1773"/>
    </row>
    <row r="1774" spans="19:21" x14ac:dyDescent="0.2">
      <c r="S1774"/>
      <c r="T1774"/>
      <c r="U1774"/>
    </row>
    <row r="1775" spans="19:21" x14ac:dyDescent="0.2">
      <c r="S1775"/>
      <c r="T1775"/>
      <c r="U1775"/>
    </row>
    <row r="1776" spans="19:21" x14ac:dyDescent="0.2">
      <c r="S1776"/>
      <c r="T1776"/>
      <c r="U1776"/>
    </row>
    <row r="1777" spans="19:21" x14ac:dyDescent="0.2">
      <c r="S1777"/>
      <c r="T1777"/>
      <c r="U1777"/>
    </row>
    <row r="1778" spans="19:21" x14ac:dyDescent="0.2">
      <c r="S1778"/>
      <c r="T1778"/>
      <c r="U1778"/>
    </row>
    <row r="1779" spans="19:21" x14ac:dyDescent="0.2">
      <c r="S1779"/>
      <c r="T1779"/>
      <c r="U1779"/>
    </row>
    <row r="1780" spans="19:21" x14ac:dyDescent="0.2">
      <c r="S1780"/>
      <c r="T1780"/>
      <c r="U1780"/>
    </row>
    <row r="1781" spans="19:21" x14ac:dyDescent="0.2">
      <c r="S1781"/>
      <c r="T1781"/>
      <c r="U1781"/>
    </row>
    <row r="1782" spans="19:21" x14ac:dyDescent="0.2">
      <c r="S1782"/>
      <c r="T1782"/>
      <c r="U1782"/>
    </row>
    <row r="1783" spans="19:21" x14ac:dyDescent="0.2">
      <c r="S1783"/>
      <c r="T1783"/>
      <c r="U1783"/>
    </row>
    <row r="1784" spans="19:21" x14ac:dyDescent="0.2">
      <c r="S1784"/>
      <c r="T1784"/>
      <c r="U1784"/>
    </row>
    <row r="1785" spans="19:21" x14ac:dyDescent="0.2">
      <c r="S1785"/>
      <c r="T1785"/>
      <c r="U1785"/>
    </row>
    <row r="1786" spans="19:21" x14ac:dyDescent="0.2">
      <c r="S1786"/>
      <c r="T1786"/>
      <c r="U1786"/>
    </row>
    <row r="1787" spans="19:21" x14ac:dyDescent="0.2">
      <c r="S1787"/>
      <c r="T1787"/>
      <c r="U1787"/>
    </row>
    <row r="1788" spans="19:21" x14ac:dyDescent="0.2">
      <c r="S1788"/>
      <c r="T1788"/>
      <c r="U1788"/>
    </row>
    <row r="1789" spans="19:21" x14ac:dyDescent="0.2">
      <c r="S1789"/>
      <c r="T1789"/>
      <c r="U1789"/>
    </row>
    <row r="1790" spans="19:21" x14ac:dyDescent="0.2">
      <c r="S1790"/>
      <c r="T1790"/>
      <c r="U1790"/>
    </row>
    <row r="1791" spans="19:21" x14ac:dyDescent="0.2">
      <c r="S1791"/>
      <c r="T1791"/>
      <c r="U1791"/>
    </row>
    <row r="1792" spans="19:21" x14ac:dyDescent="0.2">
      <c r="S1792"/>
      <c r="T1792"/>
      <c r="U1792"/>
    </row>
    <row r="1793" spans="19:21" x14ac:dyDescent="0.2">
      <c r="S1793"/>
      <c r="T1793"/>
      <c r="U1793"/>
    </row>
    <row r="1794" spans="19:21" x14ac:dyDescent="0.2">
      <c r="S1794"/>
      <c r="T1794"/>
      <c r="U1794"/>
    </row>
    <row r="1795" spans="19:21" x14ac:dyDescent="0.2">
      <c r="S1795"/>
      <c r="T1795"/>
      <c r="U1795"/>
    </row>
    <row r="1796" spans="19:21" x14ac:dyDescent="0.2">
      <c r="S1796"/>
      <c r="T1796"/>
      <c r="U1796"/>
    </row>
    <row r="1797" spans="19:21" x14ac:dyDescent="0.2">
      <c r="S1797"/>
      <c r="T1797"/>
      <c r="U1797"/>
    </row>
    <row r="1798" spans="19:21" x14ac:dyDescent="0.2">
      <c r="S1798"/>
      <c r="T1798"/>
      <c r="U1798"/>
    </row>
    <row r="1799" spans="19:21" x14ac:dyDescent="0.2">
      <c r="S1799"/>
      <c r="T1799"/>
      <c r="U1799"/>
    </row>
    <row r="1800" spans="19:21" x14ac:dyDescent="0.2">
      <c r="S1800"/>
      <c r="T1800"/>
      <c r="U1800"/>
    </row>
    <row r="1801" spans="19:21" x14ac:dyDescent="0.2">
      <c r="S1801"/>
      <c r="T1801"/>
      <c r="U1801"/>
    </row>
    <row r="1802" spans="19:21" x14ac:dyDescent="0.2">
      <c r="S1802"/>
      <c r="T1802"/>
      <c r="U1802"/>
    </row>
    <row r="1803" spans="19:21" x14ac:dyDescent="0.2">
      <c r="S1803"/>
      <c r="T1803"/>
      <c r="U1803"/>
    </row>
    <row r="1804" spans="19:21" x14ac:dyDescent="0.2">
      <c r="S1804"/>
      <c r="T1804"/>
      <c r="U1804"/>
    </row>
    <row r="1805" spans="19:21" x14ac:dyDescent="0.2">
      <c r="S1805"/>
      <c r="T1805"/>
      <c r="U1805"/>
    </row>
    <row r="1806" spans="19:21" x14ac:dyDescent="0.2">
      <c r="S1806"/>
      <c r="T1806"/>
      <c r="U1806"/>
    </row>
    <row r="1807" spans="19:21" x14ac:dyDescent="0.2">
      <c r="S1807"/>
      <c r="T1807"/>
      <c r="U1807"/>
    </row>
    <row r="1808" spans="19:21" x14ac:dyDescent="0.2">
      <c r="S1808"/>
      <c r="T1808"/>
      <c r="U1808"/>
    </row>
    <row r="1809" spans="19:21" x14ac:dyDescent="0.2">
      <c r="S1809"/>
      <c r="T1809"/>
      <c r="U1809"/>
    </row>
    <row r="1810" spans="19:21" x14ac:dyDescent="0.2">
      <c r="S1810"/>
      <c r="T1810"/>
      <c r="U1810"/>
    </row>
    <row r="1811" spans="19:21" x14ac:dyDescent="0.2">
      <c r="S1811"/>
      <c r="T1811"/>
      <c r="U1811"/>
    </row>
    <row r="1812" spans="19:21" x14ac:dyDescent="0.2">
      <c r="S1812"/>
      <c r="T1812"/>
      <c r="U1812"/>
    </row>
    <row r="1813" spans="19:21" x14ac:dyDescent="0.2">
      <c r="S1813"/>
      <c r="T1813"/>
      <c r="U1813"/>
    </row>
    <row r="1814" spans="19:21" x14ac:dyDescent="0.2">
      <c r="S1814"/>
      <c r="T1814"/>
      <c r="U1814"/>
    </row>
    <row r="1815" spans="19:21" x14ac:dyDescent="0.2">
      <c r="S1815"/>
      <c r="T1815"/>
      <c r="U1815"/>
    </row>
    <row r="1816" spans="19:21" x14ac:dyDescent="0.2">
      <c r="S1816"/>
      <c r="T1816"/>
      <c r="U1816"/>
    </row>
    <row r="1817" spans="19:21" x14ac:dyDescent="0.2">
      <c r="S1817"/>
      <c r="T1817"/>
      <c r="U1817"/>
    </row>
    <row r="1818" spans="19:21" x14ac:dyDescent="0.2">
      <c r="S1818"/>
      <c r="T1818"/>
      <c r="U1818"/>
    </row>
    <row r="1819" spans="19:21" x14ac:dyDescent="0.2">
      <c r="S1819"/>
      <c r="T1819"/>
      <c r="U1819"/>
    </row>
    <row r="1820" spans="19:21" x14ac:dyDescent="0.2">
      <c r="S1820"/>
      <c r="T1820"/>
      <c r="U1820"/>
    </row>
    <row r="1821" spans="19:21" x14ac:dyDescent="0.2">
      <c r="S1821"/>
      <c r="T1821"/>
      <c r="U1821"/>
    </row>
    <row r="1822" spans="19:21" x14ac:dyDescent="0.2">
      <c r="S1822"/>
      <c r="T1822"/>
      <c r="U1822"/>
    </row>
    <row r="1823" spans="19:21" x14ac:dyDescent="0.2">
      <c r="S1823"/>
      <c r="T1823"/>
      <c r="U1823"/>
    </row>
    <row r="1824" spans="19:21" x14ac:dyDescent="0.2">
      <c r="S1824"/>
      <c r="T1824"/>
      <c r="U1824"/>
    </row>
    <row r="1825" spans="19:21" x14ac:dyDescent="0.2">
      <c r="S1825"/>
      <c r="T1825"/>
      <c r="U1825"/>
    </row>
    <row r="1826" spans="19:21" x14ac:dyDescent="0.2">
      <c r="S1826"/>
      <c r="T1826"/>
      <c r="U1826"/>
    </row>
    <row r="1827" spans="19:21" x14ac:dyDescent="0.2">
      <c r="S1827"/>
      <c r="T1827"/>
      <c r="U1827"/>
    </row>
    <row r="1828" spans="19:21" x14ac:dyDescent="0.2">
      <c r="S1828"/>
      <c r="T1828"/>
      <c r="U1828"/>
    </row>
    <row r="1829" spans="19:21" x14ac:dyDescent="0.2">
      <c r="S1829"/>
      <c r="T1829"/>
      <c r="U1829"/>
    </row>
    <row r="1830" spans="19:21" x14ac:dyDescent="0.2">
      <c r="S1830"/>
      <c r="T1830"/>
      <c r="U1830"/>
    </row>
    <row r="1831" spans="19:21" x14ac:dyDescent="0.2">
      <c r="S1831"/>
      <c r="T1831"/>
      <c r="U1831"/>
    </row>
    <row r="1832" spans="19:21" x14ac:dyDescent="0.2">
      <c r="S1832"/>
      <c r="T1832"/>
      <c r="U1832"/>
    </row>
    <row r="1833" spans="19:21" x14ac:dyDescent="0.2">
      <c r="S1833"/>
      <c r="T1833"/>
      <c r="U1833"/>
    </row>
    <row r="1834" spans="19:21" x14ac:dyDescent="0.2">
      <c r="S1834"/>
      <c r="T1834"/>
      <c r="U1834"/>
    </row>
    <row r="1835" spans="19:21" x14ac:dyDescent="0.2">
      <c r="S1835"/>
      <c r="T1835"/>
      <c r="U1835"/>
    </row>
    <row r="1836" spans="19:21" x14ac:dyDescent="0.2">
      <c r="S1836"/>
      <c r="T1836"/>
      <c r="U1836"/>
    </row>
    <row r="1837" spans="19:21" x14ac:dyDescent="0.2">
      <c r="S1837"/>
      <c r="T1837"/>
      <c r="U1837"/>
    </row>
    <row r="1838" spans="19:21" x14ac:dyDescent="0.2">
      <c r="S1838"/>
      <c r="T1838"/>
      <c r="U1838"/>
    </row>
    <row r="1839" spans="19:21" x14ac:dyDescent="0.2">
      <c r="S1839"/>
      <c r="T1839"/>
      <c r="U1839"/>
    </row>
    <row r="1840" spans="19:21" x14ac:dyDescent="0.2">
      <c r="S1840"/>
      <c r="T1840"/>
      <c r="U1840"/>
    </row>
    <row r="1841" spans="19:21" x14ac:dyDescent="0.2">
      <c r="S1841"/>
      <c r="T1841"/>
      <c r="U1841"/>
    </row>
    <row r="1842" spans="19:21" x14ac:dyDescent="0.2">
      <c r="S1842"/>
      <c r="T1842"/>
      <c r="U1842"/>
    </row>
    <row r="1843" spans="19:21" x14ac:dyDescent="0.2">
      <c r="S1843"/>
      <c r="T1843"/>
      <c r="U1843"/>
    </row>
    <row r="1844" spans="19:21" x14ac:dyDescent="0.2">
      <c r="S1844"/>
      <c r="T1844"/>
      <c r="U1844"/>
    </row>
    <row r="1845" spans="19:21" x14ac:dyDescent="0.2">
      <c r="S1845"/>
      <c r="T1845"/>
      <c r="U1845"/>
    </row>
    <row r="1846" spans="19:21" x14ac:dyDescent="0.2">
      <c r="S1846"/>
      <c r="T1846"/>
      <c r="U1846"/>
    </row>
    <row r="1847" spans="19:21" x14ac:dyDescent="0.2">
      <c r="S1847"/>
      <c r="T1847"/>
      <c r="U1847"/>
    </row>
    <row r="1848" spans="19:21" x14ac:dyDescent="0.2">
      <c r="S1848"/>
      <c r="T1848"/>
      <c r="U1848"/>
    </row>
    <row r="1849" spans="19:21" x14ac:dyDescent="0.2">
      <c r="S1849"/>
      <c r="T1849"/>
      <c r="U1849"/>
    </row>
    <row r="1850" spans="19:21" x14ac:dyDescent="0.2">
      <c r="S1850"/>
      <c r="T1850"/>
      <c r="U1850"/>
    </row>
    <row r="1851" spans="19:21" x14ac:dyDescent="0.2">
      <c r="S1851"/>
      <c r="T1851"/>
      <c r="U1851"/>
    </row>
    <row r="1852" spans="19:21" x14ac:dyDescent="0.2">
      <c r="S1852"/>
      <c r="T1852"/>
      <c r="U1852"/>
    </row>
    <row r="1853" spans="19:21" x14ac:dyDescent="0.2">
      <c r="S1853"/>
      <c r="T1853"/>
      <c r="U1853"/>
    </row>
    <row r="1854" spans="19:21" x14ac:dyDescent="0.2">
      <c r="S1854"/>
      <c r="T1854"/>
      <c r="U1854"/>
    </row>
    <row r="1855" spans="19:21" x14ac:dyDescent="0.2">
      <c r="S1855"/>
      <c r="T1855"/>
      <c r="U1855"/>
    </row>
    <row r="1856" spans="19:21" x14ac:dyDescent="0.2">
      <c r="S1856"/>
      <c r="T1856"/>
      <c r="U1856"/>
    </row>
  </sheetData>
  <mergeCells count="16">
    <mergeCell ref="G1:G2"/>
    <mergeCell ref="B1:B2"/>
    <mergeCell ref="C1:C2"/>
    <mergeCell ref="D1:D2"/>
    <mergeCell ref="E1:E2"/>
    <mergeCell ref="F1:F2"/>
    <mergeCell ref="H1:H2"/>
    <mergeCell ref="I1:I2"/>
    <mergeCell ref="J1:N1"/>
    <mergeCell ref="O1:S1"/>
    <mergeCell ref="T1:T2"/>
    <mergeCell ref="D61:E61"/>
    <mergeCell ref="D321:E321"/>
    <mergeCell ref="D349:E349"/>
    <mergeCell ref="D431:E431"/>
    <mergeCell ref="D21:E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2" manualBreakCount="2">
    <brk id="337" max="21" man="1"/>
    <brk id="3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16"/>
  <sheetViews>
    <sheetView view="pageBreakPreview" topLeftCell="A232" zoomScale="60" workbookViewId="0">
      <selection activeCell="A187" sqref="A1:XFD1048576"/>
    </sheetView>
  </sheetViews>
  <sheetFormatPr defaultRowHeight="12.75" x14ac:dyDescent="0.2"/>
  <cols>
    <col min="1" max="1" width="2.5703125" customWidth="1"/>
    <col min="2" max="2" width="7.85546875" style="126" customWidth="1"/>
    <col min="3" max="3" width="30.140625" customWidth="1"/>
    <col min="4" max="4" width="7.28515625" customWidth="1"/>
    <col min="5" max="5" width="7.7109375" customWidth="1"/>
    <col min="6" max="6" width="7.140625" customWidth="1"/>
    <col min="7" max="7" width="6.85546875" customWidth="1"/>
    <col min="8" max="8" width="7" customWidth="1"/>
    <col min="9" max="9" width="7.28515625" customWidth="1"/>
    <col min="10" max="10" width="8" customWidth="1"/>
    <col min="11" max="11" width="7.28515625" customWidth="1"/>
    <col min="12" max="12" width="6.140625" customWidth="1"/>
    <col min="13" max="13" width="6.85546875" customWidth="1"/>
    <col min="14" max="14" width="5" customWidth="1"/>
    <col min="15" max="15" width="5.140625" customWidth="1"/>
    <col min="16" max="17" width="5.28515625" customWidth="1"/>
    <col min="18" max="18" width="6.28515625" customWidth="1"/>
    <col min="19" max="19" width="6" style="22" customWidth="1"/>
    <col min="20" max="20" width="6.28515625" style="22" hidden="1" customWidth="1"/>
    <col min="21" max="21" width="6.85546875" style="93" customWidth="1"/>
    <col min="22" max="22" width="6.28515625" customWidth="1"/>
  </cols>
  <sheetData>
    <row r="1" spans="1:23" ht="14.25" customHeight="1" thickBot="1" x14ac:dyDescent="0.25"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</row>
    <row r="2" spans="1:23" ht="38.25" customHeight="1" x14ac:dyDescent="0.2">
      <c r="B2" s="317" t="s">
        <v>7</v>
      </c>
      <c r="C2" s="319" t="s">
        <v>8</v>
      </c>
      <c r="D2" s="319" t="s">
        <v>9</v>
      </c>
      <c r="E2" s="319" t="s">
        <v>10</v>
      </c>
      <c r="F2" s="319" t="s">
        <v>11</v>
      </c>
      <c r="G2" s="319" t="s">
        <v>12</v>
      </c>
      <c r="H2" s="322" t="s">
        <v>13</v>
      </c>
      <c r="I2" s="322" t="s">
        <v>14</v>
      </c>
      <c r="J2" s="324" t="s">
        <v>26</v>
      </c>
      <c r="K2" s="324"/>
      <c r="L2" s="324"/>
      <c r="M2" s="324"/>
      <c r="N2" s="324"/>
      <c r="O2" s="324" t="s">
        <v>27</v>
      </c>
      <c r="P2" s="324"/>
      <c r="Q2" s="324"/>
      <c r="R2" s="324"/>
      <c r="S2" s="325"/>
      <c r="T2" s="321"/>
      <c r="V2" s="56" t="s">
        <v>83</v>
      </c>
    </row>
    <row r="3" spans="1:23" ht="13.5" thickBot="1" x14ac:dyDescent="0.25">
      <c r="B3" s="318"/>
      <c r="C3" s="320"/>
      <c r="D3" s="320"/>
      <c r="E3" s="320"/>
      <c r="F3" s="320"/>
      <c r="G3" s="320"/>
      <c r="H3" s="323"/>
      <c r="I3" s="323"/>
      <c r="J3" s="12" t="s">
        <v>28</v>
      </c>
      <c r="K3" s="12" t="s">
        <v>15</v>
      </c>
      <c r="L3" s="12" t="s">
        <v>16</v>
      </c>
      <c r="M3" s="12" t="s">
        <v>17</v>
      </c>
      <c r="N3" s="12" t="s">
        <v>18</v>
      </c>
      <c r="O3" s="12" t="s">
        <v>19</v>
      </c>
      <c r="P3" s="12" t="s">
        <v>20</v>
      </c>
      <c r="Q3" s="12" t="s">
        <v>21</v>
      </c>
      <c r="R3" s="13" t="s">
        <v>22</v>
      </c>
      <c r="S3" s="53" t="s">
        <v>23</v>
      </c>
      <c r="T3" s="321"/>
      <c r="V3" s="52"/>
    </row>
    <row r="4" spans="1:23" x14ac:dyDescent="0.2">
      <c r="B4" s="144"/>
      <c r="C4" s="1" t="s">
        <v>0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66"/>
      <c r="S4" s="69"/>
      <c r="T4" s="69"/>
      <c r="U4" s="96"/>
      <c r="V4" s="84"/>
    </row>
    <row r="5" spans="1:23" x14ac:dyDescent="0.2">
      <c r="B5" s="69"/>
      <c r="C5" s="196" t="s">
        <v>163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  <c r="S5" s="69"/>
      <c r="T5" s="69"/>
      <c r="U5" s="96"/>
      <c r="V5" s="84"/>
    </row>
    <row r="6" spans="1:23" s="26" customFormat="1" x14ac:dyDescent="0.2">
      <c r="B6" s="69"/>
      <c r="C6" s="5" t="s">
        <v>125</v>
      </c>
      <c r="D6" s="69"/>
      <c r="E6" s="3">
        <v>200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U6" s="32"/>
      <c r="V6" s="96">
        <v>0.32860800000000001</v>
      </c>
    </row>
    <row r="7" spans="1:23" s="26" customFormat="1" ht="38.25" x14ac:dyDescent="0.2">
      <c r="B7" s="69" t="s">
        <v>124</v>
      </c>
      <c r="C7" s="78" t="s">
        <v>126</v>
      </c>
      <c r="D7" s="69">
        <v>176.2</v>
      </c>
      <c r="E7" s="69">
        <v>191</v>
      </c>
      <c r="F7" s="36">
        <f>15.5*E7/100</f>
        <v>29.605</v>
      </c>
      <c r="G7" s="36">
        <f>8*E7/100</f>
        <v>15.28</v>
      </c>
      <c r="H7" s="36">
        <f>29.7*E7/100</f>
        <v>56.726999999999997</v>
      </c>
      <c r="I7" s="36">
        <f>245*E7/100</f>
        <v>467.95</v>
      </c>
      <c r="J7" s="37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U7" s="96">
        <v>164.16</v>
      </c>
      <c r="V7" s="96">
        <v>0.14080000000000001</v>
      </c>
    </row>
    <row r="8" spans="1:23" s="26" customFormat="1" x14ac:dyDescent="0.2">
      <c r="B8" s="69"/>
      <c r="C8" s="65" t="s">
        <v>37</v>
      </c>
      <c r="D8" s="69">
        <v>9</v>
      </c>
      <c r="E8" s="69">
        <v>9</v>
      </c>
      <c r="F8" s="69">
        <f>0.8*E8/100</f>
        <v>7.2000000000000008E-2</v>
      </c>
      <c r="G8" s="69">
        <f>72.5*E8/100</f>
        <v>6.5250000000000004</v>
      </c>
      <c r="H8" s="69">
        <f>1.3*E8/100</f>
        <v>0.11700000000000001</v>
      </c>
      <c r="I8" s="69">
        <f>661*E8/100</f>
        <v>59.49</v>
      </c>
      <c r="J8" s="86">
        <f>23*E8/100</f>
        <v>2.0699999999999998</v>
      </c>
      <c r="K8" s="69">
        <f>22*E8/100</f>
        <v>1.98</v>
      </c>
      <c r="L8" s="69">
        <f>3*E8/100</f>
        <v>0.27</v>
      </c>
      <c r="M8" s="85">
        <f>19*E8/100</f>
        <v>1.71</v>
      </c>
      <c r="N8" s="69">
        <f>0.2*E8/100</f>
        <v>1.8000000000000002E-2</v>
      </c>
      <c r="O8" s="69">
        <f>0.5*E8/100</f>
        <v>4.4999999999999998E-2</v>
      </c>
      <c r="P8" s="69">
        <f>0</f>
        <v>0</v>
      </c>
      <c r="Q8" s="96">
        <f>0.01*E8/1000</f>
        <v>8.9999999999999992E-5</v>
      </c>
      <c r="R8" s="69">
        <f>0.1*E8/100</f>
        <v>9.0000000000000011E-3</v>
      </c>
      <c r="S8" s="69">
        <f>0</f>
        <v>0</v>
      </c>
      <c r="U8" s="96">
        <v>337.78</v>
      </c>
      <c r="V8" s="96">
        <v>2.2259999999999999E-2</v>
      </c>
    </row>
    <row r="9" spans="1:23" s="26" customFormat="1" x14ac:dyDescent="0.2">
      <c r="B9" s="69"/>
      <c r="C9" s="39" t="s">
        <v>47</v>
      </c>
      <c r="D9" s="69"/>
      <c r="E9" s="69"/>
      <c r="F9" s="3">
        <f>F7+F8</f>
        <v>29.677</v>
      </c>
      <c r="G9" s="3">
        <f t="shared" ref="G9:S9" si="0">G7+G8</f>
        <v>21.805</v>
      </c>
      <c r="H9" s="3">
        <f t="shared" si="0"/>
        <v>56.843999999999994</v>
      </c>
      <c r="I9" s="3">
        <f t="shared" si="0"/>
        <v>527.43999999999994</v>
      </c>
      <c r="J9" s="3">
        <f t="shared" si="0"/>
        <v>2.0699999999999998</v>
      </c>
      <c r="K9" s="3">
        <f t="shared" si="0"/>
        <v>1.98</v>
      </c>
      <c r="L9" s="3">
        <f t="shared" si="0"/>
        <v>0.27</v>
      </c>
      <c r="M9" s="3">
        <f t="shared" si="0"/>
        <v>1.71</v>
      </c>
      <c r="N9" s="3">
        <f t="shared" si="0"/>
        <v>1.8000000000000002E-2</v>
      </c>
      <c r="O9" s="3">
        <f t="shared" si="0"/>
        <v>4.4999999999999998E-2</v>
      </c>
      <c r="P9" s="3">
        <f t="shared" si="0"/>
        <v>0</v>
      </c>
      <c r="Q9" s="3">
        <f t="shared" si="0"/>
        <v>8.9999999999999992E-5</v>
      </c>
      <c r="R9" s="3">
        <f t="shared" si="0"/>
        <v>9.0000000000000011E-3</v>
      </c>
      <c r="S9" s="3">
        <f t="shared" si="0"/>
        <v>0</v>
      </c>
      <c r="U9" s="96"/>
      <c r="V9" s="96">
        <v>0</v>
      </c>
    </row>
    <row r="10" spans="1:23" s="26" customFormat="1" x14ac:dyDescent="0.2">
      <c r="B10" s="69" t="s">
        <v>73</v>
      </c>
      <c r="C10" s="5" t="s">
        <v>74</v>
      </c>
      <c r="D10" s="313" t="s">
        <v>75</v>
      </c>
      <c r="E10" s="314"/>
      <c r="F10" s="3">
        <f t="shared" ref="F10:S10" si="1">SUM(F11:F13)</f>
        <v>0.1</v>
      </c>
      <c r="G10" s="3">
        <f t="shared" si="1"/>
        <v>0</v>
      </c>
      <c r="H10" s="3">
        <f t="shared" si="1"/>
        <v>15</v>
      </c>
      <c r="I10" s="3">
        <f t="shared" si="1"/>
        <v>57.699999999999996</v>
      </c>
      <c r="J10" s="3">
        <f t="shared" si="1"/>
        <v>12.9</v>
      </c>
      <c r="K10" s="3">
        <f t="shared" si="1"/>
        <v>2.9</v>
      </c>
      <c r="L10" s="3">
        <f t="shared" si="1"/>
        <v>2.2000000000000002</v>
      </c>
      <c r="M10" s="3">
        <f t="shared" si="1"/>
        <v>4.12</v>
      </c>
      <c r="N10" s="3">
        <f t="shared" si="1"/>
        <v>0.4</v>
      </c>
      <c r="O10" s="3">
        <f t="shared" si="1"/>
        <v>0</v>
      </c>
      <c r="P10" s="3">
        <f t="shared" si="1"/>
        <v>0</v>
      </c>
      <c r="Q10" s="3">
        <f t="shared" si="1"/>
        <v>0</v>
      </c>
      <c r="R10" s="50">
        <f t="shared" si="1"/>
        <v>0</v>
      </c>
      <c r="S10" s="3">
        <f t="shared" si="1"/>
        <v>0</v>
      </c>
      <c r="T10" s="69"/>
      <c r="U10" s="96"/>
      <c r="V10" s="84"/>
    </row>
    <row r="11" spans="1:23" s="26" customFormat="1" x14ac:dyDescent="0.2">
      <c r="B11" s="69"/>
      <c r="C11" s="65" t="s">
        <v>40</v>
      </c>
      <c r="D11" s="159">
        <v>50</v>
      </c>
      <c r="E11" s="159">
        <v>50</v>
      </c>
      <c r="F11" s="69">
        <v>0.1</v>
      </c>
      <c r="G11" s="69">
        <v>0</v>
      </c>
      <c r="H11" s="69">
        <v>0</v>
      </c>
      <c r="I11" s="69">
        <v>0.8</v>
      </c>
      <c r="J11" s="85">
        <v>12.4</v>
      </c>
      <c r="K11" s="69">
        <v>2.5</v>
      </c>
      <c r="L11" s="69">
        <v>2.2000000000000002</v>
      </c>
      <c r="M11" s="85">
        <v>4.12</v>
      </c>
      <c r="N11" s="69">
        <v>0.4</v>
      </c>
      <c r="O11" s="69">
        <v>0</v>
      </c>
      <c r="P11" s="69">
        <v>0</v>
      </c>
      <c r="Q11" s="69">
        <v>0</v>
      </c>
      <c r="R11" s="70">
        <v>0</v>
      </c>
      <c r="S11" s="69">
        <v>0</v>
      </c>
      <c r="T11" s="69"/>
      <c r="U11" s="96">
        <v>539.16999999999996</v>
      </c>
      <c r="V11" s="84">
        <f>1*U11/1000</f>
        <v>0.53916999999999993</v>
      </c>
    </row>
    <row r="12" spans="1:23" s="26" customFormat="1" x14ac:dyDescent="0.2">
      <c r="B12" s="69"/>
      <c r="C12" s="65" t="s">
        <v>30</v>
      </c>
      <c r="D12" s="159">
        <v>15</v>
      </c>
      <c r="E12" s="159">
        <v>15</v>
      </c>
      <c r="F12" s="69">
        <v>0</v>
      </c>
      <c r="G12" s="69">
        <v>0</v>
      </c>
      <c r="H12" s="69">
        <v>15</v>
      </c>
      <c r="I12" s="69">
        <v>56.9</v>
      </c>
      <c r="J12" s="85">
        <v>0.5</v>
      </c>
      <c r="K12" s="69">
        <v>0.4</v>
      </c>
      <c r="L12" s="69">
        <v>0</v>
      </c>
      <c r="M12" s="85">
        <v>0</v>
      </c>
      <c r="N12" s="69">
        <v>0</v>
      </c>
      <c r="O12" s="69">
        <v>0</v>
      </c>
      <c r="P12" s="69">
        <v>0</v>
      </c>
      <c r="Q12" s="69">
        <v>0</v>
      </c>
      <c r="R12" s="70">
        <v>0</v>
      </c>
      <c r="S12" s="69">
        <v>0</v>
      </c>
      <c r="T12" s="69"/>
      <c r="U12" s="96">
        <v>50.97</v>
      </c>
      <c r="V12" s="84">
        <f>D12*U12/1000</f>
        <v>0.76454999999999995</v>
      </c>
    </row>
    <row r="13" spans="1:23" s="67" customFormat="1" x14ac:dyDescent="0.2">
      <c r="A13" s="154"/>
      <c r="B13" s="69"/>
      <c r="C13" s="65" t="s">
        <v>35</v>
      </c>
      <c r="D13" s="159">
        <v>150</v>
      </c>
      <c r="E13" s="159">
        <v>150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70">
        <v>0</v>
      </c>
      <c r="S13" s="69">
        <v>0</v>
      </c>
      <c r="T13" s="69"/>
      <c r="U13" s="96">
        <v>0</v>
      </c>
      <c r="V13" s="84">
        <f>D13*U13/1000</f>
        <v>0</v>
      </c>
      <c r="W13" s="154"/>
    </row>
    <row r="14" spans="1:23" x14ac:dyDescent="0.2">
      <c r="B14" s="69"/>
      <c r="C14" s="39" t="s">
        <v>47</v>
      </c>
      <c r="D14" s="196"/>
      <c r="E14" s="19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3"/>
      <c r="U14" s="32"/>
      <c r="V14" s="21">
        <f>SUM(V11:V13)</f>
        <v>1.3037199999999998</v>
      </c>
    </row>
    <row r="15" spans="1:23" x14ac:dyDescent="0.2">
      <c r="B15" s="69"/>
      <c r="C15" s="42" t="s">
        <v>164</v>
      </c>
      <c r="D15" s="42"/>
      <c r="E15" s="42"/>
      <c r="F15" s="42">
        <v>28.915900000000001</v>
      </c>
      <c r="G15" s="42">
        <v>30.662700000000001</v>
      </c>
      <c r="H15" s="42">
        <v>88.719399999999993</v>
      </c>
      <c r="I15" s="42">
        <v>666.63760000000002</v>
      </c>
      <c r="J15" s="42">
        <v>786.74599999999998</v>
      </c>
      <c r="K15" s="42">
        <v>131.678</v>
      </c>
      <c r="L15" s="42">
        <v>135.65799999999999</v>
      </c>
      <c r="M15" s="42">
        <v>183.2825</v>
      </c>
      <c r="N15" s="42">
        <v>8.1952200000000008</v>
      </c>
      <c r="O15" s="42">
        <v>6.3E-2</v>
      </c>
      <c r="P15" s="42">
        <v>0.51873999999999998</v>
      </c>
      <c r="Q15" s="42">
        <v>0.33509100000000003</v>
      </c>
      <c r="R15" s="42">
        <v>6.69116</v>
      </c>
      <c r="S15" s="42">
        <v>45.122500000000002</v>
      </c>
      <c r="T15" s="42"/>
      <c r="U15" s="153">
        <v>33.19</v>
      </c>
      <c r="V15" s="135">
        <v>0.88400000000000001</v>
      </c>
    </row>
    <row r="16" spans="1:23" s="26" customFormat="1" x14ac:dyDescent="0.2">
      <c r="B16" s="16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153"/>
      <c r="V16" s="170"/>
    </row>
    <row r="17" spans="2:22" s="26" customFormat="1" x14ac:dyDescent="0.2">
      <c r="B17" s="16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153"/>
      <c r="V17" s="170"/>
    </row>
    <row r="18" spans="2:22" x14ac:dyDescent="0.2">
      <c r="B18" s="69"/>
      <c r="C18" s="196" t="s">
        <v>3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69"/>
      <c r="T18" s="69"/>
      <c r="U18" s="96"/>
      <c r="V18" s="84"/>
    </row>
    <row r="19" spans="2:22" ht="24.75" customHeight="1" x14ac:dyDescent="0.2">
      <c r="B19" s="69"/>
      <c r="C19" s="196" t="s">
        <v>163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69"/>
      <c r="T19" s="69"/>
      <c r="U19" s="96"/>
      <c r="V19" s="84"/>
    </row>
    <row r="20" spans="2:22" x14ac:dyDescent="0.2">
      <c r="B20" s="69" t="s">
        <v>108</v>
      </c>
      <c r="C20" s="5" t="s">
        <v>109</v>
      </c>
      <c r="D20" s="69"/>
      <c r="E20" s="3"/>
      <c r="F20" s="3"/>
      <c r="G20" s="3"/>
      <c r="H20" s="3"/>
      <c r="I20" s="32"/>
      <c r="J20" s="3"/>
      <c r="K20" s="32"/>
      <c r="L20" s="32"/>
      <c r="M20" s="7"/>
      <c r="N20" s="3"/>
      <c r="O20" s="3"/>
      <c r="P20" s="3"/>
      <c r="Q20" s="3"/>
      <c r="R20" s="3"/>
      <c r="S20" s="32"/>
      <c r="T20" s="69"/>
      <c r="U20" s="96"/>
      <c r="V20" s="84"/>
    </row>
    <row r="21" spans="2:22" x14ac:dyDescent="0.2">
      <c r="B21" s="69"/>
      <c r="C21" s="155" t="s">
        <v>119</v>
      </c>
      <c r="D21" s="69">
        <v>71.400000000000006</v>
      </c>
      <c r="E21" s="69">
        <v>70</v>
      </c>
      <c r="F21" s="69">
        <f>11*E21/100</f>
        <v>7.7</v>
      </c>
      <c r="G21" s="69">
        <f>23.9*E21/100</f>
        <v>16.73</v>
      </c>
      <c r="H21" s="69">
        <v>0</v>
      </c>
      <c r="I21" s="96">
        <f>261*E21/100</f>
        <v>182.7</v>
      </c>
      <c r="J21" s="69">
        <f>220*E21/100</f>
        <v>154</v>
      </c>
      <c r="K21" s="85">
        <f>35*E21/100</f>
        <v>24.5</v>
      </c>
      <c r="L21" s="85">
        <f>20*E21/100</f>
        <v>14</v>
      </c>
      <c r="M21" s="85">
        <f>159*E21/100</f>
        <v>111.3</v>
      </c>
      <c r="N21" s="69">
        <f>1.8*E21/100</f>
        <v>1.26</v>
      </c>
      <c r="O21" s="69">
        <v>0</v>
      </c>
      <c r="P21" s="69">
        <v>0</v>
      </c>
      <c r="Q21" s="69">
        <v>0</v>
      </c>
      <c r="R21" s="69">
        <v>0</v>
      </c>
      <c r="S21" s="96">
        <v>0</v>
      </c>
      <c r="T21" s="69"/>
      <c r="U21" s="96">
        <v>254.37</v>
      </c>
      <c r="V21" s="84">
        <f>D21*U21/1000</f>
        <v>18.162018</v>
      </c>
    </row>
    <row r="22" spans="2:22" x14ac:dyDescent="0.2">
      <c r="B22" s="144"/>
      <c r="C22" s="71" t="s">
        <v>77</v>
      </c>
      <c r="D22" s="21"/>
      <c r="E22" s="21"/>
      <c r="F22" s="21">
        <v>7.7</v>
      </c>
      <c r="G22" s="21">
        <v>16.73</v>
      </c>
      <c r="H22" s="21">
        <v>0</v>
      </c>
      <c r="I22" s="21">
        <v>182.7</v>
      </c>
      <c r="J22" s="21">
        <v>154</v>
      </c>
      <c r="K22" s="21">
        <v>24.5</v>
      </c>
      <c r="L22" s="21">
        <v>14</v>
      </c>
      <c r="M22" s="21">
        <v>111.3</v>
      </c>
      <c r="N22" s="21">
        <v>1.26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69"/>
      <c r="U22" s="96"/>
      <c r="V22" s="21">
        <f>V21</f>
        <v>18.162018</v>
      </c>
    </row>
    <row r="23" spans="2:22" x14ac:dyDescent="0.2">
      <c r="B23" s="136" t="s">
        <v>98</v>
      </c>
      <c r="C23" s="71" t="s">
        <v>99</v>
      </c>
      <c r="D23" s="72"/>
      <c r="E23" s="73">
        <v>50</v>
      </c>
      <c r="F23" s="29"/>
      <c r="G23" s="74"/>
      <c r="H23" s="74"/>
      <c r="I23" s="74"/>
      <c r="J23" s="75"/>
      <c r="K23" s="74"/>
      <c r="L23" s="74"/>
      <c r="M23" s="75"/>
      <c r="N23" s="74"/>
      <c r="O23" s="74"/>
      <c r="P23" s="74"/>
      <c r="Q23" s="74"/>
      <c r="R23" s="74"/>
      <c r="S23" s="74"/>
      <c r="T23" s="26"/>
      <c r="U23" s="32"/>
      <c r="V23" s="84"/>
    </row>
    <row r="24" spans="2:22" s="26" customFormat="1" x14ac:dyDescent="0.2">
      <c r="B24" s="136"/>
      <c r="C24" s="30" t="s">
        <v>100</v>
      </c>
      <c r="D24" s="31">
        <v>50</v>
      </c>
      <c r="E24" s="31">
        <v>50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U24" s="96">
        <v>0</v>
      </c>
      <c r="V24" s="84">
        <f t="shared" ref="V24:V32" si="2">D24*U24/1000</f>
        <v>0</v>
      </c>
    </row>
    <row r="25" spans="2:22" ht="15.75" customHeight="1" x14ac:dyDescent="0.2">
      <c r="B25" s="136"/>
      <c r="C25" s="30" t="s">
        <v>34</v>
      </c>
      <c r="D25" s="31">
        <v>2.5</v>
      </c>
      <c r="E25" s="31">
        <v>2.5</v>
      </c>
      <c r="F25" s="31">
        <v>0</v>
      </c>
      <c r="G25" s="31">
        <v>2.5</v>
      </c>
      <c r="H25" s="31">
        <v>0</v>
      </c>
      <c r="I25" s="31">
        <v>22.4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26"/>
      <c r="U25" s="96">
        <v>83.43</v>
      </c>
      <c r="V25" s="84">
        <f t="shared" si="2"/>
        <v>0.20857500000000001</v>
      </c>
    </row>
    <row r="26" spans="2:22" ht="27.75" customHeight="1" x14ac:dyDescent="0.2">
      <c r="B26" s="136"/>
      <c r="C26" s="30" t="s">
        <v>38</v>
      </c>
      <c r="D26" s="31">
        <v>2.5</v>
      </c>
      <c r="E26" s="31">
        <v>2.5</v>
      </c>
      <c r="F26" s="31">
        <v>0.3</v>
      </c>
      <c r="G26" s="31">
        <v>0</v>
      </c>
      <c r="H26" s="31">
        <v>1.7</v>
      </c>
      <c r="I26" s="31">
        <v>8.4</v>
      </c>
      <c r="J26" s="31">
        <v>4.4000000000000004</v>
      </c>
      <c r="K26" s="31">
        <v>0.6</v>
      </c>
      <c r="L26" s="31">
        <v>1.1000000000000001</v>
      </c>
      <c r="M26" s="31">
        <v>2.9</v>
      </c>
      <c r="N26" s="31">
        <v>0.05</v>
      </c>
      <c r="O26" s="31">
        <v>0</v>
      </c>
      <c r="P26" s="31">
        <v>0</v>
      </c>
      <c r="Q26" s="31">
        <v>0</v>
      </c>
      <c r="R26" s="31">
        <v>0.03</v>
      </c>
      <c r="S26" s="31">
        <v>0</v>
      </c>
      <c r="T26" s="26"/>
      <c r="U26" s="96">
        <v>27.31</v>
      </c>
      <c r="V26" s="84">
        <f t="shared" si="2"/>
        <v>6.8274999999999988E-2</v>
      </c>
    </row>
    <row r="27" spans="2:22" ht="15.75" customHeight="1" x14ac:dyDescent="0.2">
      <c r="B27" s="136"/>
      <c r="C27" s="30" t="s">
        <v>36</v>
      </c>
      <c r="D27" s="31">
        <v>2</v>
      </c>
      <c r="E27" s="31">
        <v>2</v>
      </c>
      <c r="F27" s="31">
        <v>0.1</v>
      </c>
      <c r="G27" s="31">
        <v>0</v>
      </c>
      <c r="H27" s="31">
        <v>0.4</v>
      </c>
      <c r="I27" s="31">
        <v>2</v>
      </c>
      <c r="J27" s="31">
        <v>17.5</v>
      </c>
      <c r="K27" s="31">
        <v>0.4</v>
      </c>
      <c r="L27" s="31">
        <v>1</v>
      </c>
      <c r="M27" s="31">
        <v>1.36</v>
      </c>
      <c r="N27" s="31">
        <v>0.05</v>
      </c>
      <c r="O27" s="31">
        <v>0</v>
      </c>
      <c r="P27" s="31">
        <v>0</v>
      </c>
      <c r="Q27" s="31">
        <v>0</v>
      </c>
      <c r="R27" s="31">
        <v>0.04</v>
      </c>
      <c r="S27" s="31">
        <v>0.9</v>
      </c>
      <c r="T27" s="26"/>
      <c r="U27" s="96">
        <v>120</v>
      </c>
      <c r="V27" s="84">
        <f t="shared" si="2"/>
        <v>0.24</v>
      </c>
    </row>
    <row r="28" spans="2:22" s="26" customFormat="1" x14ac:dyDescent="0.2">
      <c r="B28" s="136"/>
      <c r="C28" s="30" t="s">
        <v>32</v>
      </c>
      <c r="D28" s="31">
        <v>5</v>
      </c>
      <c r="E28" s="31">
        <v>4</v>
      </c>
      <c r="F28" s="31">
        <v>0.06</v>
      </c>
      <c r="G28" s="31">
        <v>0</v>
      </c>
      <c r="H28" s="31">
        <v>0.28000000000000003</v>
      </c>
      <c r="I28" s="31">
        <v>1.4</v>
      </c>
      <c r="J28" s="31">
        <v>8</v>
      </c>
      <c r="K28" s="31">
        <v>1</v>
      </c>
      <c r="L28" s="31">
        <v>1.5</v>
      </c>
      <c r="M28" s="31">
        <v>2.2000000000000002</v>
      </c>
      <c r="N28" s="31">
        <v>0</v>
      </c>
      <c r="O28" s="31">
        <v>0</v>
      </c>
      <c r="P28" s="31">
        <v>0</v>
      </c>
      <c r="Q28" s="31">
        <v>0</v>
      </c>
      <c r="R28" s="31">
        <v>0.04</v>
      </c>
      <c r="S28" s="31">
        <v>0.2</v>
      </c>
      <c r="U28" s="96">
        <v>32.71</v>
      </c>
      <c r="V28" s="84">
        <f t="shared" si="2"/>
        <v>0.16355</v>
      </c>
    </row>
    <row r="29" spans="2:22" s="26" customFormat="1" x14ac:dyDescent="0.2">
      <c r="B29" s="136"/>
      <c r="C29" s="30" t="s">
        <v>33</v>
      </c>
      <c r="D29" s="31">
        <v>1.2</v>
      </c>
      <c r="E29" s="31">
        <v>1</v>
      </c>
      <c r="F29" s="31">
        <v>0.01</v>
      </c>
      <c r="G29" s="31">
        <v>0</v>
      </c>
      <c r="H29" s="31">
        <v>0.08</v>
      </c>
      <c r="I29" s="31">
        <v>0.41</v>
      </c>
      <c r="J29" s="31">
        <v>1.75</v>
      </c>
      <c r="K29" s="31">
        <v>0.31</v>
      </c>
      <c r="L29" s="31">
        <v>0.14000000000000001</v>
      </c>
      <c r="M29" s="31">
        <v>0.57999999999999996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0.1</v>
      </c>
      <c r="U29" s="96">
        <v>29.62</v>
      </c>
      <c r="V29" s="84">
        <f t="shared" si="2"/>
        <v>3.5543999999999999E-2</v>
      </c>
    </row>
    <row r="30" spans="2:22" s="26" customFormat="1" x14ac:dyDescent="0.2">
      <c r="B30" s="136"/>
      <c r="C30" s="30" t="s">
        <v>30</v>
      </c>
      <c r="D30" s="31">
        <v>0.75</v>
      </c>
      <c r="E30" s="31">
        <v>0.75</v>
      </c>
      <c r="F30" s="31">
        <v>0</v>
      </c>
      <c r="G30" s="31">
        <v>0</v>
      </c>
      <c r="H30" s="31">
        <v>0.7</v>
      </c>
      <c r="I30" s="31">
        <v>2.8</v>
      </c>
      <c r="J30" s="31">
        <v>0.02</v>
      </c>
      <c r="K30" s="31">
        <v>0.01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U30" s="96">
        <v>50.97</v>
      </c>
      <c r="V30" s="84">
        <f t="shared" si="2"/>
        <v>3.8227499999999998E-2</v>
      </c>
    </row>
    <row r="31" spans="2:22" s="26" customFormat="1" x14ac:dyDescent="0.2">
      <c r="B31" s="136"/>
      <c r="C31" s="30" t="s">
        <v>46</v>
      </c>
      <c r="D31" s="31">
        <v>0.5</v>
      </c>
      <c r="E31" s="31">
        <v>0.5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U31" s="96">
        <v>11.63</v>
      </c>
      <c r="V31" s="84">
        <f t="shared" si="2"/>
        <v>5.8150000000000007E-3</v>
      </c>
    </row>
    <row r="32" spans="2:22" s="26" customFormat="1" x14ac:dyDescent="0.2">
      <c r="B32" s="136"/>
      <c r="C32" s="76" t="s">
        <v>39</v>
      </c>
      <c r="D32" s="34">
        <v>0.02</v>
      </c>
      <c r="E32" s="34">
        <v>0.02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U32" s="96">
        <v>300</v>
      </c>
      <c r="V32" s="84">
        <f t="shared" si="2"/>
        <v>6.0000000000000001E-3</v>
      </c>
    </row>
    <row r="33" spans="2:22" s="26" customFormat="1" x14ac:dyDescent="0.2">
      <c r="B33" s="136"/>
      <c r="C33" s="71" t="s">
        <v>77</v>
      </c>
      <c r="D33" s="79"/>
      <c r="E33" s="79"/>
      <c r="F33" s="79">
        <f>SUM(F24:F32)</f>
        <v>0.47000000000000003</v>
      </c>
      <c r="G33" s="79">
        <f t="shared" ref="G33:S33" si="3">SUM(G24:G32)</f>
        <v>2.5</v>
      </c>
      <c r="H33" s="79">
        <f t="shared" si="3"/>
        <v>3.16</v>
      </c>
      <c r="I33" s="79">
        <f t="shared" si="3"/>
        <v>37.409999999999989</v>
      </c>
      <c r="J33" s="79">
        <f t="shared" si="3"/>
        <v>31.669999999999998</v>
      </c>
      <c r="K33" s="79">
        <f t="shared" si="3"/>
        <v>2.3199999999999998</v>
      </c>
      <c r="L33" s="79">
        <f t="shared" si="3"/>
        <v>3.74</v>
      </c>
      <c r="M33" s="79">
        <f t="shared" si="3"/>
        <v>7.04</v>
      </c>
      <c r="N33" s="79">
        <f t="shared" si="3"/>
        <v>0.1</v>
      </c>
      <c r="O33" s="79">
        <f t="shared" si="3"/>
        <v>0</v>
      </c>
      <c r="P33" s="79">
        <f t="shared" si="3"/>
        <v>0</v>
      </c>
      <c r="Q33" s="79">
        <f t="shared" si="3"/>
        <v>0</v>
      </c>
      <c r="R33" s="79">
        <f t="shared" si="3"/>
        <v>0.11000000000000001</v>
      </c>
      <c r="S33" s="79">
        <f t="shared" si="3"/>
        <v>1.2000000000000002</v>
      </c>
      <c r="U33" s="96"/>
      <c r="V33" s="21">
        <f>SUM(V24:V32)</f>
        <v>0.76598650000000001</v>
      </c>
    </row>
    <row r="34" spans="2:22" s="26" customFormat="1" ht="25.5" x14ac:dyDescent="0.2">
      <c r="B34" s="31" t="s">
        <v>70</v>
      </c>
      <c r="C34" s="28" t="s">
        <v>71</v>
      </c>
      <c r="D34" s="31"/>
      <c r="E34" s="29">
        <v>150</v>
      </c>
      <c r="F34" s="29"/>
      <c r="G34" s="29"/>
      <c r="H34" s="59"/>
      <c r="I34" s="29"/>
      <c r="J34" s="59"/>
      <c r="K34" s="49"/>
      <c r="L34" s="29"/>
      <c r="M34" s="29"/>
      <c r="N34" s="29"/>
      <c r="O34" s="29"/>
      <c r="P34" s="29"/>
      <c r="Q34" s="29"/>
      <c r="R34" s="29"/>
      <c r="S34" s="29"/>
      <c r="T34" s="69"/>
      <c r="U34" s="96"/>
      <c r="V34" s="84"/>
    </row>
    <row r="35" spans="2:22" s="26" customFormat="1" x14ac:dyDescent="0.2">
      <c r="B35" s="31"/>
      <c r="C35" s="30" t="s">
        <v>72</v>
      </c>
      <c r="D35" s="31">
        <v>50</v>
      </c>
      <c r="E35" s="31">
        <v>50</v>
      </c>
      <c r="F35" s="31">
        <v>6.3</v>
      </c>
      <c r="G35" s="31">
        <v>0.67</v>
      </c>
      <c r="H35" s="33">
        <v>42.5</v>
      </c>
      <c r="I35" s="31">
        <v>205.57</v>
      </c>
      <c r="J35" s="60">
        <v>75.64</v>
      </c>
      <c r="K35" s="60">
        <v>10.98</v>
      </c>
      <c r="L35" s="31">
        <v>9.76</v>
      </c>
      <c r="M35" s="31">
        <v>53</v>
      </c>
      <c r="N35" s="31">
        <v>0.73</v>
      </c>
      <c r="O35" s="31">
        <v>0</v>
      </c>
      <c r="P35" s="31">
        <v>0.1</v>
      </c>
      <c r="Q35" s="31">
        <v>0.04</v>
      </c>
      <c r="R35" s="31">
        <v>0.74</v>
      </c>
      <c r="S35" s="31">
        <v>0</v>
      </c>
      <c r="T35" s="69"/>
      <c r="U35" s="96">
        <v>44.89</v>
      </c>
      <c r="V35" s="84">
        <f>D35*U35/1000</f>
        <v>2.2444999999999999</v>
      </c>
    </row>
    <row r="36" spans="2:22" x14ac:dyDescent="0.2">
      <c r="B36" s="31"/>
      <c r="C36" s="30" t="s">
        <v>46</v>
      </c>
      <c r="D36" s="31">
        <v>1.6</v>
      </c>
      <c r="E36" s="31">
        <v>1.6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69"/>
      <c r="U36" s="96">
        <v>11.63</v>
      </c>
      <c r="V36" s="84">
        <f>D36*U36/1000</f>
        <v>1.8608E-2</v>
      </c>
    </row>
    <row r="37" spans="2:22" x14ac:dyDescent="0.2">
      <c r="B37" s="31"/>
      <c r="C37" s="30" t="s">
        <v>37</v>
      </c>
      <c r="D37" s="31">
        <v>5.3</v>
      </c>
      <c r="E37" s="31">
        <v>5.3</v>
      </c>
      <c r="F37" s="69">
        <f>0.8*E37/100</f>
        <v>4.24E-2</v>
      </c>
      <c r="G37" s="69">
        <f>72.5*E37/100</f>
        <v>3.8424999999999998</v>
      </c>
      <c r="H37" s="69">
        <f>1.3*E37/100</f>
        <v>6.8900000000000003E-2</v>
      </c>
      <c r="I37" s="69">
        <f>661*E37/100</f>
        <v>35.032999999999994</v>
      </c>
      <c r="J37" s="86">
        <f>23*E37/100</f>
        <v>1.2189999999999999</v>
      </c>
      <c r="K37" s="69">
        <f>22*E37/100</f>
        <v>1.1659999999999999</v>
      </c>
      <c r="L37" s="69">
        <f>3*E37/100</f>
        <v>0.15899999999999997</v>
      </c>
      <c r="M37" s="85">
        <f>19*E37/100</f>
        <v>1.0070000000000001</v>
      </c>
      <c r="N37" s="69">
        <f>0.2*E37/100</f>
        <v>1.06E-2</v>
      </c>
      <c r="O37" s="69">
        <f>0.5*E37/100</f>
        <v>2.6499999999999999E-2</v>
      </c>
      <c r="P37" s="69">
        <f>0</f>
        <v>0</v>
      </c>
      <c r="Q37" s="96">
        <f>0.01*E37/1000</f>
        <v>5.3000000000000001E-5</v>
      </c>
      <c r="R37" s="69">
        <f>0.1*E37/100</f>
        <v>5.3E-3</v>
      </c>
      <c r="S37" s="69">
        <f>0</f>
        <v>0</v>
      </c>
      <c r="T37" s="69"/>
      <c r="U37" s="96">
        <v>337.78</v>
      </c>
      <c r="V37" s="84">
        <f>D37*U37/1000</f>
        <v>1.7902339999999997</v>
      </c>
    </row>
    <row r="38" spans="2:22" x14ac:dyDescent="0.2">
      <c r="B38" s="31"/>
      <c r="C38" s="28" t="s">
        <v>77</v>
      </c>
      <c r="D38" s="29"/>
      <c r="E38" s="29"/>
      <c r="F38" s="29">
        <f>SUM(F35:F37)</f>
        <v>6.3423999999999996</v>
      </c>
      <c r="G38" s="29">
        <f t="shared" ref="G38:T38" si="4">SUM(G35:G37)</f>
        <v>4.5125000000000002</v>
      </c>
      <c r="H38" s="29">
        <f t="shared" si="4"/>
        <v>42.568899999999999</v>
      </c>
      <c r="I38" s="29">
        <f t="shared" si="4"/>
        <v>240.60299999999998</v>
      </c>
      <c r="J38" s="29">
        <f t="shared" si="4"/>
        <v>76.858999999999995</v>
      </c>
      <c r="K38" s="29">
        <f t="shared" si="4"/>
        <v>12.146000000000001</v>
      </c>
      <c r="L38" s="29">
        <f t="shared" si="4"/>
        <v>9.9190000000000005</v>
      </c>
      <c r="M38" s="29">
        <f t="shared" si="4"/>
        <v>54.006999999999998</v>
      </c>
      <c r="N38" s="29">
        <f t="shared" si="4"/>
        <v>0.74060000000000004</v>
      </c>
      <c r="O38" s="29">
        <f t="shared" si="4"/>
        <v>2.6499999999999999E-2</v>
      </c>
      <c r="P38" s="29">
        <f t="shared" si="4"/>
        <v>0.1</v>
      </c>
      <c r="Q38" s="29">
        <f t="shared" si="4"/>
        <v>4.0052999999999998E-2</v>
      </c>
      <c r="R38" s="29">
        <f t="shared" si="4"/>
        <v>0.74529999999999996</v>
      </c>
      <c r="S38" s="29">
        <f t="shared" si="4"/>
        <v>0</v>
      </c>
      <c r="T38" s="29">
        <f t="shared" si="4"/>
        <v>0</v>
      </c>
      <c r="U38" s="95"/>
      <c r="V38" s="21">
        <f>SUM(V35:V37)</f>
        <v>4.0533419999999998</v>
      </c>
    </row>
    <row r="39" spans="2:22" x14ac:dyDescent="0.2">
      <c r="B39" s="69" t="s">
        <v>73</v>
      </c>
      <c r="C39" s="5" t="s">
        <v>74</v>
      </c>
      <c r="D39" s="313" t="s">
        <v>75</v>
      </c>
      <c r="E39" s="314"/>
      <c r="F39" s="4"/>
      <c r="G39" s="4"/>
      <c r="H39" s="4"/>
      <c r="I39" s="4"/>
      <c r="J39" s="11"/>
      <c r="K39" s="4"/>
      <c r="L39" s="4"/>
      <c r="M39" s="11"/>
      <c r="N39" s="4"/>
      <c r="O39" s="4"/>
      <c r="P39" s="4"/>
      <c r="Q39" s="4"/>
      <c r="R39" s="51"/>
      <c r="S39" s="4"/>
      <c r="T39" s="69"/>
      <c r="U39" s="96"/>
      <c r="V39" s="84"/>
    </row>
    <row r="40" spans="2:22" x14ac:dyDescent="0.2">
      <c r="B40" s="69"/>
      <c r="C40" s="65" t="s">
        <v>40</v>
      </c>
      <c r="D40" s="159">
        <v>50</v>
      </c>
      <c r="E40" s="159">
        <v>50</v>
      </c>
      <c r="F40" s="69">
        <v>0.1</v>
      </c>
      <c r="G40" s="69">
        <v>0</v>
      </c>
      <c r="H40" s="69">
        <v>0</v>
      </c>
      <c r="I40" s="69">
        <v>0.8</v>
      </c>
      <c r="J40" s="85">
        <v>12.4</v>
      </c>
      <c r="K40" s="69">
        <v>2.5</v>
      </c>
      <c r="L40" s="69">
        <v>2.2000000000000002</v>
      </c>
      <c r="M40" s="85">
        <v>4.12</v>
      </c>
      <c r="N40" s="69">
        <v>0.4</v>
      </c>
      <c r="O40" s="69">
        <v>0</v>
      </c>
      <c r="P40" s="69">
        <v>0</v>
      </c>
      <c r="Q40" s="69">
        <v>0</v>
      </c>
      <c r="R40" s="70">
        <v>0</v>
      </c>
      <c r="S40" s="69">
        <v>0</v>
      </c>
      <c r="T40" s="69"/>
      <c r="U40" s="96">
        <v>412</v>
      </c>
      <c r="V40" s="84">
        <f>1*U40/1000</f>
        <v>0.41199999999999998</v>
      </c>
    </row>
    <row r="41" spans="2:22" x14ac:dyDescent="0.2">
      <c r="B41" s="69"/>
      <c r="C41" s="65" t="s">
        <v>30</v>
      </c>
      <c r="D41" s="159">
        <v>15</v>
      </c>
      <c r="E41" s="159">
        <v>15</v>
      </c>
      <c r="F41" s="69">
        <v>0</v>
      </c>
      <c r="G41" s="69">
        <v>0</v>
      </c>
      <c r="H41" s="69">
        <v>15</v>
      </c>
      <c r="I41" s="69">
        <v>56.9</v>
      </c>
      <c r="J41" s="85">
        <v>0.5</v>
      </c>
      <c r="K41" s="69">
        <v>0.4</v>
      </c>
      <c r="L41" s="69">
        <v>0</v>
      </c>
      <c r="M41" s="85">
        <v>0</v>
      </c>
      <c r="N41" s="69">
        <v>0</v>
      </c>
      <c r="O41" s="69">
        <v>0</v>
      </c>
      <c r="P41" s="69">
        <v>0</v>
      </c>
      <c r="Q41" s="69">
        <v>0</v>
      </c>
      <c r="R41" s="70">
        <v>0</v>
      </c>
      <c r="S41" s="69">
        <v>0</v>
      </c>
      <c r="T41" s="69"/>
      <c r="U41" s="96">
        <v>35.159999999999997</v>
      </c>
      <c r="V41" s="84">
        <f t="shared" ref="V41:V42" si="5">D41*U41/1000</f>
        <v>0.52739999999999998</v>
      </c>
    </row>
    <row r="42" spans="2:22" s="26" customFormat="1" x14ac:dyDescent="0.2">
      <c r="B42" s="69"/>
      <c r="C42" s="65" t="s">
        <v>35</v>
      </c>
      <c r="D42" s="159">
        <v>150</v>
      </c>
      <c r="E42" s="159">
        <v>150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70">
        <v>0</v>
      </c>
      <c r="S42" s="69">
        <v>0</v>
      </c>
      <c r="T42" s="69"/>
      <c r="U42" s="96">
        <v>0</v>
      </c>
      <c r="V42" s="84">
        <f t="shared" si="5"/>
        <v>0</v>
      </c>
    </row>
    <row r="43" spans="2:22" s="26" customFormat="1" x14ac:dyDescent="0.2">
      <c r="B43" s="69"/>
      <c r="C43" s="39" t="s">
        <v>47</v>
      </c>
      <c r="D43" s="196"/>
      <c r="E43" s="196"/>
      <c r="F43" s="3">
        <f t="shared" ref="F43:S43" si="6">SUM(F40:F42)</f>
        <v>0.1</v>
      </c>
      <c r="G43" s="3">
        <f t="shared" si="6"/>
        <v>0</v>
      </c>
      <c r="H43" s="3">
        <f t="shared" si="6"/>
        <v>15</v>
      </c>
      <c r="I43" s="3">
        <f t="shared" si="6"/>
        <v>57.699999999999996</v>
      </c>
      <c r="J43" s="3">
        <f t="shared" si="6"/>
        <v>12.9</v>
      </c>
      <c r="K43" s="3">
        <f t="shared" si="6"/>
        <v>2.9</v>
      </c>
      <c r="L43" s="3">
        <f t="shared" si="6"/>
        <v>2.2000000000000002</v>
      </c>
      <c r="M43" s="3">
        <f t="shared" si="6"/>
        <v>4.12</v>
      </c>
      <c r="N43" s="3">
        <f t="shared" si="6"/>
        <v>0.4</v>
      </c>
      <c r="O43" s="3">
        <f t="shared" si="6"/>
        <v>0</v>
      </c>
      <c r="P43" s="3">
        <f t="shared" si="6"/>
        <v>0</v>
      </c>
      <c r="Q43" s="3">
        <f t="shared" si="6"/>
        <v>0</v>
      </c>
      <c r="R43" s="50">
        <f t="shared" si="6"/>
        <v>0</v>
      </c>
      <c r="S43" s="3">
        <f t="shared" si="6"/>
        <v>0</v>
      </c>
      <c r="T43" s="3"/>
      <c r="U43" s="32"/>
      <c r="V43" s="21">
        <f>SUM(V40:V42)</f>
        <v>0.93940000000000001</v>
      </c>
    </row>
    <row r="44" spans="2:22" s="26" customFormat="1" ht="25.5" x14ac:dyDescent="0.2">
      <c r="B44" s="69" t="s">
        <v>24</v>
      </c>
      <c r="C44" s="5" t="s">
        <v>105</v>
      </c>
      <c r="D44" s="3">
        <v>30</v>
      </c>
      <c r="E44" s="3">
        <v>30</v>
      </c>
      <c r="F44" s="69">
        <f>7.7*E44/100</f>
        <v>2.31</v>
      </c>
      <c r="G44" s="69">
        <f>3*E44/100</f>
        <v>0.9</v>
      </c>
      <c r="H44" s="69">
        <f>49.8*E44/100</f>
        <v>14.94</v>
      </c>
      <c r="I44" s="69">
        <f>262*E44/100</f>
        <v>78.599999999999994</v>
      </c>
      <c r="J44" s="85">
        <f>127*E44/100</f>
        <v>38.1</v>
      </c>
      <c r="K44" s="69">
        <f>26*E44/100</f>
        <v>7.8</v>
      </c>
      <c r="L44" s="69">
        <f>35*E44/100</f>
        <v>10.5</v>
      </c>
      <c r="M44" s="85">
        <f>83*E44/100</f>
        <v>24.9</v>
      </c>
      <c r="N44" s="69">
        <f>1.6*E44/100</f>
        <v>0.48</v>
      </c>
      <c r="O44" s="69">
        <f>0</f>
        <v>0</v>
      </c>
      <c r="P44" s="69">
        <f>0.16*E44/100</f>
        <v>4.8000000000000001E-2</v>
      </c>
      <c r="Q44" s="69">
        <f>0.08*E44/100</f>
        <v>2.4E-2</v>
      </c>
      <c r="R44" s="69">
        <f>1.54*E44/100</f>
        <v>0.46200000000000002</v>
      </c>
      <c r="S44" s="69">
        <v>0</v>
      </c>
      <c r="T44" s="3"/>
      <c r="U44" s="32">
        <v>29.292000000000002</v>
      </c>
      <c r="V44" s="84">
        <f>E44*U44/1000</f>
        <v>0.87875999999999999</v>
      </c>
    </row>
    <row r="45" spans="2:22" x14ac:dyDescent="0.2">
      <c r="B45" s="169"/>
      <c r="C45" s="3" t="s">
        <v>164</v>
      </c>
      <c r="D45" s="3"/>
      <c r="E45" s="21"/>
      <c r="F45" s="21">
        <v>29.312000000000001</v>
      </c>
      <c r="G45" s="21">
        <v>38.728999999999999</v>
      </c>
      <c r="H45" s="21">
        <v>109.12</v>
      </c>
      <c r="I45" s="21">
        <v>820.34</v>
      </c>
      <c r="J45" s="21">
        <v>736.51900000000001</v>
      </c>
      <c r="K45" s="21">
        <v>118.506</v>
      </c>
      <c r="L45" s="21">
        <v>138.61000000000001</v>
      </c>
      <c r="M45" s="21">
        <v>249.54</v>
      </c>
      <c r="N45" s="21">
        <v>15.58</v>
      </c>
      <c r="O45" s="21">
        <v>6.03</v>
      </c>
      <c r="P45" s="21">
        <v>6.6619999999999999</v>
      </c>
      <c r="Q45" s="21">
        <v>6.4269999999999996</v>
      </c>
      <c r="R45" s="21">
        <v>12.74</v>
      </c>
      <c r="S45" s="21">
        <v>27</v>
      </c>
      <c r="T45" s="147"/>
      <c r="U45" s="52"/>
      <c r="V45" s="258">
        <v>26.03</v>
      </c>
    </row>
    <row r="46" spans="2:22" x14ac:dyDescent="0.2">
      <c r="B46" s="69"/>
      <c r="C46" s="196" t="s">
        <v>50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70"/>
      <c r="S46" s="69"/>
      <c r="T46" s="69"/>
      <c r="U46" s="96"/>
      <c r="V46" s="84"/>
    </row>
    <row r="47" spans="2:22" x14ac:dyDescent="0.2">
      <c r="B47" s="69"/>
      <c r="C47" s="196" t="s">
        <v>163</v>
      </c>
      <c r="D47" s="159"/>
      <c r="E47" s="6"/>
      <c r="F47" s="4"/>
      <c r="G47" s="4"/>
      <c r="H47" s="4"/>
      <c r="I47" s="4"/>
      <c r="J47" s="10"/>
      <c r="K47" s="4"/>
      <c r="L47" s="4"/>
      <c r="M47" s="11"/>
      <c r="N47" s="4"/>
      <c r="O47" s="4"/>
      <c r="P47" s="4"/>
      <c r="Q47" s="4"/>
      <c r="R47" s="51"/>
      <c r="S47" s="4"/>
      <c r="T47" s="69"/>
      <c r="U47" s="96"/>
      <c r="V47" s="84"/>
    </row>
    <row r="48" spans="2:22" ht="25.5" x14ac:dyDescent="0.2">
      <c r="B48" s="123" t="s">
        <v>130</v>
      </c>
      <c r="C48" s="5" t="s">
        <v>131</v>
      </c>
      <c r="D48" s="3"/>
      <c r="E48" s="3" t="s">
        <v>132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50"/>
      <c r="S48" s="3"/>
      <c r="T48" s="3"/>
      <c r="U48" s="32"/>
      <c r="V48" s="84"/>
    </row>
    <row r="49" spans="2:22" x14ac:dyDescent="0.2">
      <c r="B49" s="123"/>
      <c r="C49" s="69" t="s">
        <v>133</v>
      </c>
      <c r="D49" s="3">
        <v>196.8</v>
      </c>
      <c r="E49" s="3">
        <v>99.2</v>
      </c>
      <c r="F49" s="3">
        <v>19</v>
      </c>
      <c r="G49" s="3">
        <v>1.7712000000000001</v>
      </c>
      <c r="H49" s="3">
        <v>0</v>
      </c>
      <c r="I49" s="3">
        <v>141.696</v>
      </c>
      <c r="J49" s="3">
        <v>826.6</v>
      </c>
      <c r="K49" s="3">
        <v>78.7</v>
      </c>
      <c r="L49" s="3">
        <v>108.24</v>
      </c>
      <c r="M49" s="7">
        <v>472.3</v>
      </c>
      <c r="N49" s="3">
        <v>1.5744</v>
      </c>
      <c r="O49" s="3">
        <v>1.968E-2</v>
      </c>
      <c r="P49" s="3">
        <v>0.21648000000000001</v>
      </c>
      <c r="Q49" s="3">
        <v>0.21648000000000001</v>
      </c>
      <c r="R49" s="3">
        <v>2.5583999999999998</v>
      </c>
      <c r="S49" s="3">
        <v>0.98399999999999999</v>
      </c>
      <c r="T49" s="3">
        <v>87.81</v>
      </c>
      <c r="U49" s="32">
        <v>13.081008000000001</v>
      </c>
      <c r="V49" s="84"/>
    </row>
    <row r="50" spans="2:22" x14ac:dyDescent="0.2">
      <c r="B50" s="123"/>
      <c r="C50" s="184" t="s">
        <v>35</v>
      </c>
      <c r="D50" s="89">
        <v>30.4</v>
      </c>
      <c r="E50" s="89">
        <v>30.4</v>
      </c>
      <c r="F50" s="82">
        <v>0</v>
      </c>
      <c r="G50" s="82">
        <v>0</v>
      </c>
      <c r="H50" s="91">
        <v>0</v>
      </c>
      <c r="I50" s="82">
        <v>0</v>
      </c>
      <c r="J50" s="83">
        <v>0</v>
      </c>
      <c r="K50" s="83">
        <v>0</v>
      </c>
      <c r="L50" s="82">
        <v>0</v>
      </c>
      <c r="M50" s="83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69">
        <v>0</v>
      </c>
      <c r="U50" s="96">
        <v>0</v>
      </c>
      <c r="V50" s="84"/>
    </row>
    <row r="51" spans="2:22" x14ac:dyDescent="0.2">
      <c r="B51" s="123"/>
      <c r="C51" s="88" t="s">
        <v>32</v>
      </c>
      <c r="D51" s="89">
        <v>43.2</v>
      </c>
      <c r="E51" s="89">
        <v>33.6</v>
      </c>
      <c r="F51" s="69">
        <v>0.4</v>
      </c>
      <c r="G51" s="69">
        <v>0</v>
      </c>
      <c r="H51" s="69">
        <v>2.2999999999999998</v>
      </c>
      <c r="I51" s="69">
        <v>11.8</v>
      </c>
      <c r="J51" s="85">
        <v>63</v>
      </c>
      <c r="K51" s="69">
        <v>16</v>
      </c>
      <c r="L51" s="69">
        <v>12</v>
      </c>
      <c r="M51" s="85">
        <v>17.3</v>
      </c>
      <c r="N51" s="69">
        <v>0.4</v>
      </c>
      <c r="O51" s="69">
        <v>2.8</v>
      </c>
      <c r="P51" s="69">
        <v>0.02</v>
      </c>
      <c r="Q51" s="69">
        <v>0.02</v>
      </c>
      <c r="R51" s="69">
        <v>0.3</v>
      </c>
      <c r="S51" s="69">
        <v>1.6</v>
      </c>
      <c r="T51" s="69">
        <v>34.6</v>
      </c>
      <c r="U51" s="96">
        <v>1.49472</v>
      </c>
      <c r="V51" s="84"/>
    </row>
    <row r="52" spans="2:22" x14ac:dyDescent="0.2">
      <c r="B52" s="123"/>
      <c r="C52" s="88" t="s">
        <v>33</v>
      </c>
      <c r="D52" s="89">
        <v>19.2</v>
      </c>
      <c r="E52" s="89">
        <v>14.4</v>
      </c>
      <c r="F52" s="69">
        <v>0.2</v>
      </c>
      <c r="G52" s="69">
        <v>0</v>
      </c>
      <c r="H52" s="69">
        <v>1.2</v>
      </c>
      <c r="I52" s="69">
        <v>5.9</v>
      </c>
      <c r="J52" s="69">
        <v>23.6</v>
      </c>
      <c r="K52" s="69">
        <v>4.2</v>
      </c>
      <c r="L52" s="69">
        <v>1.9</v>
      </c>
      <c r="M52" s="69">
        <v>7.8</v>
      </c>
      <c r="N52" s="69">
        <v>0.1</v>
      </c>
      <c r="O52" s="69">
        <v>0</v>
      </c>
      <c r="P52" s="69">
        <v>0</v>
      </c>
      <c r="Q52" s="69">
        <v>0</v>
      </c>
      <c r="R52" s="69">
        <v>0.03</v>
      </c>
      <c r="S52" s="69">
        <v>1.35</v>
      </c>
      <c r="T52" s="69">
        <v>34.229999999999997</v>
      </c>
      <c r="U52" s="96">
        <v>0.65721600000000002</v>
      </c>
      <c r="V52" s="84"/>
    </row>
    <row r="53" spans="2:22" x14ac:dyDescent="0.2">
      <c r="B53" s="123"/>
      <c r="C53" s="88" t="s">
        <v>36</v>
      </c>
      <c r="D53" s="89">
        <v>6.4</v>
      </c>
      <c r="E53" s="89">
        <v>6.4</v>
      </c>
      <c r="F53" s="69">
        <v>0.3</v>
      </c>
      <c r="G53" s="69">
        <v>0</v>
      </c>
      <c r="H53" s="69">
        <v>1.2</v>
      </c>
      <c r="I53" s="69">
        <v>6.5</v>
      </c>
      <c r="J53" s="69">
        <v>52.7</v>
      </c>
      <c r="K53" s="69">
        <v>4.7</v>
      </c>
      <c r="L53" s="69">
        <v>1.8</v>
      </c>
      <c r="M53" s="69">
        <v>4</v>
      </c>
      <c r="N53" s="69">
        <v>0.14000000000000001</v>
      </c>
      <c r="O53" s="69">
        <v>0.12</v>
      </c>
      <c r="P53" s="69">
        <v>0</v>
      </c>
      <c r="Q53" s="69">
        <v>0</v>
      </c>
      <c r="R53" s="69">
        <v>0.05</v>
      </c>
      <c r="S53" s="69">
        <v>2.7</v>
      </c>
      <c r="T53" s="69">
        <v>176.53</v>
      </c>
      <c r="U53" s="96">
        <v>1.1297919999999999</v>
      </c>
      <c r="V53" s="84"/>
    </row>
    <row r="54" spans="2:22" ht="25.5" x14ac:dyDescent="0.2">
      <c r="B54" s="123"/>
      <c r="C54" s="185" t="s">
        <v>34</v>
      </c>
      <c r="D54" s="89">
        <v>8</v>
      </c>
      <c r="E54" s="89">
        <v>8</v>
      </c>
      <c r="F54" s="69">
        <v>0</v>
      </c>
      <c r="G54" s="69">
        <v>8</v>
      </c>
      <c r="H54" s="69">
        <v>0</v>
      </c>
      <c r="I54" s="69">
        <v>72</v>
      </c>
      <c r="J54" s="86">
        <v>0</v>
      </c>
      <c r="K54" s="69">
        <v>0</v>
      </c>
      <c r="L54" s="69">
        <v>0</v>
      </c>
      <c r="M54" s="85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70.400000000000006</v>
      </c>
      <c r="U54" s="96">
        <v>0.56320000000000003</v>
      </c>
      <c r="V54" s="84"/>
    </row>
    <row r="55" spans="2:22" x14ac:dyDescent="0.2">
      <c r="B55" s="123"/>
      <c r="C55" s="186" t="s">
        <v>30</v>
      </c>
      <c r="D55" s="89">
        <v>3.2</v>
      </c>
      <c r="E55" s="89">
        <v>3.2</v>
      </c>
      <c r="F55" s="69">
        <v>0</v>
      </c>
      <c r="G55" s="69">
        <v>0</v>
      </c>
      <c r="H55" s="69">
        <v>3.1</v>
      </c>
      <c r="I55" s="69">
        <v>12.1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35.159999999999997</v>
      </c>
      <c r="U55" s="96">
        <v>0.112512</v>
      </c>
      <c r="V55" s="84"/>
    </row>
    <row r="56" spans="2:22" x14ac:dyDescent="0.2">
      <c r="B56" s="123"/>
      <c r="C56" s="185" t="s">
        <v>46</v>
      </c>
      <c r="D56" s="89">
        <v>2</v>
      </c>
      <c r="E56" s="89">
        <v>2</v>
      </c>
      <c r="F56" s="69">
        <v>0</v>
      </c>
      <c r="G56" s="69">
        <v>0</v>
      </c>
      <c r="H56" s="69">
        <v>0</v>
      </c>
      <c r="I56" s="69">
        <v>0</v>
      </c>
      <c r="J56" s="86">
        <v>0</v>
      </c>
      <c r="K56" s="69">
        <v>0</v>
      </c>
      <c r="L56" s="69">
        <v>0</v>
      </c>
      <c r="M56" s="87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11.13</v>
      </c>
      <c r="U56" s="96">
        <v>2.2259999999999999E-2</v>
      </c>
      <c r="V56" s="84"/>
    </row>
    <row r="57" spans="2:22" x14ac:dyDescent="0.2">
      <c r="B57" s="123"/>
      <c r="C57" s="185" t="s">
        <v>39</v>
      </c>
      <c r="D57" s="187">
        <v>0.01</v>
      </c>
      <c r="E57" s="187">
        <v>0.01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69">
        <v>300</v>
      </c>
      <c r="U57" s="96">
        <v>3.0000000000000001E-3</v>
      </c>
      <c r="V57" s="84"/>
    </row>
    <row r="58" spans="2:22" x14ac:dyDescent="0.2">
      <c r="B58" s="123"/>
      <c r="C58" s="6" t="s">
        <v>47</v>
      </c>
      <c r="D58" s="14"/>
      <c r="E58" s="3"/>
      <c r="F58" s="3">
        <v>19.899999999999999</v>
      </c>
      <c r="G58" s="3">
        <v>14.7712</v>
      </c>
      <c r="H58" s="3">
        <v>7.8</v>
      </c>
      <c r="I58" s="3">
        <v>249.99600000000001</v>
      </c>
      <c r="J58" s="3">
        <v>965.86</v>
      </c>
      <c r="K58" s="32">
        <v>103.62</v>
      </c>
      <c r="L58" s="7">
        <v>123.94</v>
      </c>
      <c r="M58" s="7">
        <v>501.42</v>
      </c>
      <c r="N58" s="3">
        <v>2.2143999999999999</v>
      </c>
      <c r="O58" s="3">
        <v>2.9396800000000001</v>
      </c>
      <c r="P58" s="3">
        <v>0.23648</v>
      </c>
      <c r="Q58" s="3">
        <v>0.23648</v>
      </c>
      <c r="R58" s="3">
        <v>2.9384000000000001</v>
      </c>
      <c r="S58" s="32">
        <v>6.6340000000000003</v>
      </c>
      <c r="U58" s="93">
        <v>17.063707999999998</v>
      </c>
      <c r="V58" s="84"/>
    </row>
    <row r="59" spans="2:22" x14ac:dyDescent="0.2">
      <c r="B59" s="123" t="s">
        <v>57</v>
      </c>
      <c r="C59" s="6" t="s">
        <v>58</v>
      </c>
      <c r="D59" s="20"/>
      <c r="E59" s="20">
        <v>150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V59" s="84"/>
    </row>
    <row r="60" spans="2:22" x14ac:dyDescent="0.2">
      <c r="B60" s="123"/>
      <c r="C60" s="188" t="s">
        <v>31</v>
      </c>
      <c r="D60" s="20">
        <v>170.8</v>
      </c>
      <c r="E60" s="20">
        <v>128.30000000000001</v>
      </c>
      <c r="F60" s="14">
        <v>2.5659999999999998</v>
      </c>
      <c r="G60" s="14">
        <v>0.51319999999999999</v>
      </c>
      <c r="H60" s="14">
        <v>20.9129</v>
      </c>
      <c r="I60" s="14">
        <v>98.790999999999997</v>
      </c>
      <c r="J60" s="15">
        <v>728.74400000000003</v>
      </c>
      <c r="K60" s="14">
        <v>12.83</v>
      </c>
      <c r="L60" s="14">
        <v>29.509</v>
      </c>
      <c r="M60" s="16">
        <v>74.414000000000001</v>
      </c>
      <c r="N60" s="14">
        <v>1.1547000000000001</v>
      </c>
      <c r="O60" s="14">
        <v>0</v>
      </c>
      <c r="P60" s="14">
        <v>0.15396000000000001</v>
      </c>
      <c r="Q60" s="14">
        <v>8.9810000000000001E-2</v>
      </c>
      <c r="R60" s="14">
        <v>1.6678999999999999</v>
      </c>
      <c r="S60" s="14">
        <v>25.66</v>
      </c>
      <c r="T60" s="22">
        <v>35.76</v>
      </c>
      <c r="U60" s="93">
        <v>6.1078080000000003</v>
      </c>
      <c r="V60" s="84"/>
    </row>
    <row r="61" spans="2:22" x14ac:dyDescent="0.2">
      <c r="B61" s="123"/>
      <c r="C61" s="188" t="s">
        <v>37</v>
      </c>
      <c r="D61" s="20">
        <v>5</v>
      </c>
      <c r="E61" s="20">
        <v>5</v>
      </c>
      <c r="F61" s="34">
        <v>0.04</v>
      </c>
      <c r="G61" s="34">
        <v>3.625</v>
      </c>
      <c r="H61" s="34">
        <v>6.5000000000000002E-2</v>
      </c>
      <c r="I61" s="34">
        <v>33.049999999999997</v>
      </c>
      <c r="J61" s="34">
        <v>1</v>
      </c>
      <c r="K61" s="34">
        <v>1.1000000000000001</v>
      </c>
      <c r="L61" s="34">
        <v>0.15</v>
      </c>
      <c r="M61" s="34">
        <v>1</v>
      </c>
      <c r="N61" s="34">
        <v>0.01</v>
      </c>
      <c r="O61" s="34">
        <v>2.5000000000000001E-2</v>
      </c>
      <c r="P61" s="34">
        <v>0</v>
      </c>
      <c r="Q61" s="34">
        <v>0</v>
      </c>
      <c r="R61" s="34">
        <v>5.0000000000000001E-3</v>
      </c>
      <c r="S61" s="34">
        <v>0</v>
      </c>
      <c r="T61" s="22">
        <v>300.63</v>
      </c>
      <c r="U61" s="93">
        <v>1.50315</v>
      </c>
      <c r="V61" s="69"/>
    </row>
    <row r="62" spans="2:22" x14ac:dyDescent="0.2">
      <c r="B62" s="123"/>
      <c r="C62" s="188" t="s">
        <v>29</v>
      </c>
      <c r="D62" s="20">
        <v>23.6</v>
      </c>
      <c r="E62" s="20">
        <v>22.5</v>
      </c>
      <c r="F62" s="14">
        <v>0.66080000000000005</v>
      </c>
      <c r="G62" s="14">
        <v>0.75519999999999998</v>
      </c>
      <c r="H62" s="14">
        <v>1.1092</v>
      </c>
      <c r="I62" s="14">
        <v>1.3688</v>
      </c>
      <c r="J62" s="14">
        <v>34.456000000000003</v>
      </c>
      <c r="K62" s="14">
        <v>28.32</v>
      </c>
      <c r="L62" s="14">
        <v>26.904</v>
      </c>
      <c r="M62" s="14">
        <v>2.3599999999999999E-2</v>
      </c>
      <c r="N62" s="14">
        <v>2.3599999999999999E-2</v>
      </c>
      <c r="O62" s="14">
        <v>4.7200000000000002E-3</v>
      </c>
      <c r="P62" s="14">
        <v>9.4400000000000005E-3</v>
      </c>
      <c r="Q62" s="14">
        <v>3.5400000000000001E-2</v>
      </c>
      <c r="R62" s="14">
        <v>2.3599999999999999E-2</v>
      </c>
      <c r="S62" s="14">
        <v>0.30680000000000002</v>
      </c>
      <c r="T62" s="22">
        <v>36.83</v>
      </c>
      <c r="U62" s="93">
        <v>0.86918799999999996</v>
      </c>
      <c r="V62" s="84"/>
    </row>
    <row r="63" spans="2:22" x14ac:dyDescent="0.2">
      <c r="B63" s="123"/>
      <c r="C63" s="65" t="s">
        <v>46</v>
      </c>
      <c r="D63" s="3">
        <v>1.8</v>
      </c>
      <c r="E63" s="3">
        <v>1.8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22">
        <v>11.13</v>
      </c>
      <c r="U63" s="93">
        <v>2.0034E-2</v>
      </c>
      <c r="V63" s="21"/>
    </row>
    <row r="64" spans="2:22" x14ac:dyDescent="0.2">
      <c r="B64" s="123"/>
      <c r="C64" s="5" t="s">
        <v>47</v>
      </c>
      <c r="D64" s="3"/>
      <c r="E64" s="3"/>
      <c r="F64" s="3">
        <v>3.2667999999999999</v>
      </c>
      <c r="G64" s="14">
        <v>9.8933999999999997</v>
      </c>
      <c r="H64" s="14">
        <v>22.0871</v>
      </c>
      <c r="I64" s="14">
        <v>133.2098</v>
      </c>
      <c r="J64" s="14">
        <v>764.35</v>
      </c>
      <c r="K64" s="14">
        <v>42.25</v>
      </c>
      <c r="L64" s="14">
        <v>56.563000000000002</v>
      </c>
      <c r="M64" s="14">
        <v>75.387600000000006</v>
      </c>
      <c r="N64" s="14">
        <v>1.1882999999999999</v>
      </c>
      <c r="O64" s="14">
        <v>2.972E-2</v>
      </c>
      <c r="P64" s="14">
        <v>0.16339999999999999</v>
      </c>
      <c r="Q64" s="14">
        <v>0.12526000000000001</v>
      </c>
      <c r="R64" s="14">
        <v>1.6964999999999999</v>
      </c>
      <c r="S64" s="14">
        <v>25.966799999999999</v>
      </c>
      <c r="U64" s="93">
        <v>8.5001800000000003</v>
      </c>
      <c r="V64" s="84"/>
    </row>
    <row r="65" spans="2:22" x14ac:dyDescent="0.2">
      <c r="B65" s="123" t="s">
        <v>134</v>
      </c>
      <c r="C65" s="5" t="s">
        <v>135</v>
      </c>
      <c r="D65" s="14"/>
      <c r="E65" s="14">
        <v>200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V65" s="52"/>
    </row>
    <row r="66" spans="2:22" x14ac:dyDescent="0.2">
      <c r="B66" s="123"/>
      <c r="C66" s="17" t="s">
        <v>136</v>
      </c>
      <c r="D66" s="14">
        <v>20</v>
      </c>
      <c r="E66" s="14">
        <v>50</v>
      </c>
      <c r="F66" s="14">
        <v>0</v>
      </c>
      <c r="G66" s="14">
        <v>0</v>
      </c>
      <c r="H66" s="14">
        <v>0</v>
      </c>
      <c r="I66" s="14">
        <v>28.2</v>
      </c>
      <c r="J66" s="14">
        <v>0</v>
      </c>
      <c r="K66" s="14">
        <v>0.2</v>
      </c>
      <c r="L66" s="14">
        <v>0</v>
      </c>
      <c r="M66" s="14">
        <v>0</v>
      </c>
      <c r="N66" s="14">
        <v>0.03</v>
      </c>
      <c r="O66" s="14">
        <v>0</v>
      </c>
      <c r="P66" s="14">
        <v>0</v>
      </c>
      <c r="Q66" s="14">
        <v>0</v>
      </c>
      <c r="R66" s="14">
        <v>0</v>
      </c>
      <c r="S66" s="14">
        <v>0.04</v>
      </c>
      <c r="T66" s="22">
        <v>60</v>
      </c>
      <c r="U66" s="93">
        <v>1.2</v>
      </c>
      <c r="V66" s="52"/>
    </row>
    <row r="67" spans="2:22" x14ac:dyDescent="0.2">
      <c r="B67" s="123"/>
      <c r="C67" s="17" t="s">
        <v>30</v>
      </c>
      <c r="D67" s="14">
        <v>20</v>
      </c>
      <c r="E67" s="14">
        <v>20</v>
      </c>
      <c r="F67" s="14">
        <v>0</v>
      </c>
      <c r="G67" s="14">
        <v>0</v>
      </c>
      <c r="H67" s="14">
        <v>19.98</v>
      </c>
      <c r="I67" s="14">
        <v>75.8</v>
      </c>
      <c r="J67" s="14">
        <v>0.6</v>
      </c>
      <c r="K67" s="14">
        <v>0.2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22">
        <v>35.159999999999997</v>
      </c>
      <c r="U67" s="93">
        <v>0.70320000000000005</v>
      </c>
      <c r="V67" s="52"/>
    </row>
    <row r="68" spans="2:22" x14ac:dyDescent="0.2">
      <c r="B68" s="123"/>
      <c r="C68" s="17" t="s">
        <v>35</v>
      </c>
      <c r="D68" s="14">
        <v>200</v>
      </c>
      <c r="E68" s="14">
        <v>200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22">
        <v>0</v>
      </c>
      <c r="U68" s="93">
        <v>0</v>
      </c>
      <c r="V68" s="52"/>
    </row>
    <row r="69" spans="2:22" s="26" customFormat="1" x14ac:dyDescent="0.2">
      <c r="B69" s="123"/>
      <c r="C69" s="17" t="s">
        <v>137</v>
      </c>
      <c r="D69" s="14">
        <v>0.2</v>
      </c>
      <c r="E69" s="14">
        <v>0.2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0.2</v>
      </c>
      <c r="T69" s="22">
        <v>300</v>
      </c>
      <c r="U69" s="93">
        <v>0.06</v>
      </c>
      <c r="V69" s="52"/>
    </row>
    <row r="70" spans="2:22" s="26" customFormat="1" x14ac:dyDescent="0.2">
      <c r="B70" s="125"/>
      <c r="C70" s="28" t="s">
        <v>47</v>
      </c>
      <c r="D70" s="29"/>
      <c r="E70" s="29"/>
      <c r="F70" s="29">
        <v>0</v>
      </c>
      <c r="G70" s="29">
        <v>0</v>
      </c>
      <c r="H70" s="29">
        <v>19.98</v>
      </c>
      <c r="I70" s="29">
        <v>104</v>
      </c>
      <c r="J70" s="29">
        <v>0.6</v>
      </c>
      <c r="K70" s="29">
        <v>0.4</v>
      </c>
      <c r="L70" s="29">
        <v>0</v>
      </c>
      <c r="M70" s="29">
        <v>0</v>
      </c>
      <c r="N70" s="29">
        <v>0.03</v>
      </c>
      <c r="O70" s="29">
        <v>0</v>
      </c>
      <c r="P70" s="29">
        <v>0</v>
      </c>
      <c r="Q70" s="29">
        <v>0</v>
      </c>
      <c r="R70" s="29">
        <v>0</v>
      </c>
      <c r="S70" s="29">
        <v>0.24</v>
      </c>
      <c r="T70" s="3"/>
      <c r="U70" s="32">
        <v>1.9632000000000001</v>
      </c>
      <c r="V70" s="21"/>
    </row>
    <row r="71" spans="2:22" ht="25.5" x14ac:dyDescent="0.2">
      <c r="B71" s="69"/>
      <c r="C71" s="5" t="s">
        <v>105</v>
      </c>
      <c r="D71" s="69">
        <v>30</v>
      </c>
      <c r="E71" s="69">
        <v>30</v>
      </c>
      <c r="F71" s="69">
        <v>1.54</v>
      </c>
      <c r="G71" s="69">
        <v>0.6</v>
      </c>
      <c r="H71" s="69">
        <v>9.9600000000000009</v>
      </c>
      <c r="I71" s="69">
        <v>52.4</v>
      </c>
      <c r="J71" s="69">
        <v>25.4</v>
      </c>
      <c r="K71" s="69">
        <v>5.2</v>
      </c>
      <c r="L71" s="69">
        <v>7</v>
      </c>
      <c r="M71" s="69">
        <v>16.600000000000001</v>
      </c>
      <c r="N71" s="69">
        <v>0.32</v>
      </c>
      <c r="O71" s="69">
        <v>0</v>
      </c>
      <c r="P71" s="69">
        <v>3.2000000000000001E-2</v>
      </c>
      <c r="Q71" s="69">
        <v>1.6E-2</v>
      </c>
      <c r="R71" s="69">
        <v>0.308</v>
      </c>
      <c r="S71" s="69">
        <v>0</v>
      </c>
      <c r="T71" s="69">
        <v>29.29</v>
      </c>
      <c r="U71" s="96">
        <v>0.58584000000000003</v>
      </c>
      <c r="V71" s="96">
        <v>0.74360000000000004</v>
      </c>
    </row>
    <row r="72" spans="2:22" x14ac:dyDescent="0.2">
      <c r="B72" s="69" t="s">
        <v>24</v>
      </c>
      <c r="C72" s="39" t="s">
        <v>106</v>
      </c>
      <c r="D72" s="3">
        <v>20</v>
      </c>
      <c r="E72" s="3">
        <v>20</v>
      </c>
      <c r="F72" s="3">
        <v>1.32</v>
      </c>
      <c r="G72" s="3">
        <v>0.24</v>
      </c>
      <c r="H72" s="3">
        <v>6.84</v>
      </c>
      <c r="I72" s="3">
        <v>36.200000000000003</v>
      </c>
      <c r="J72" s="3">
        <v>18.8</v>
      </c>
      <c r="K72" s="3">
        <v>6.8</v>
      </c>
      <c r="L72" s="3">
        <v>8.1999999999999993</v>
      </c>
      <c r="M72" s="3">
        <v>24</v>
      </c>
      <c r="N72" s="3">
        <v>0.46</v>
      </c>
      <c r="O72" s="3">
        <v>0</v>
      </c>
      <c r="P72" s="3">
        <v>2.1999999999999999E-2</v>
      </c>
      <c r="Q72" s="3">
        <v>1.6E-2</v>
      </c>
      <c r="R72" s="3">
        <v>0.128</v>
      </c>
      <c r="S72" s="3">
        <v>0</v>
      </c>
      <c r="T72" s="69">
        <v>35.9</v>
      </c>
      <c r="U72" s="96">
        <v>0.71799999999999997</v>
      </c>
      <c r="V72" s="96">
        <v>5.8680159999999999</v>
      </c>
    </row>
    <row r="73" spans="2:22" ht="12" customHeight="1" x14ac:dyDescent="0.2">
      <c r="B73" s="69"/>
      <c r="C73" s="156"/>
      <c r="D73" s="84"/>
      <c r="E73" s="84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96"/>
      <c r="V73" s="84"/>
    </row>
    <row r="74" spans="2:22" ht="12" customHeight="1" x14ac:dyDescent="0.2">
      <c r="B74" s="69"/>
      <c r="C74" s="3" t="s">
        <v>164</v>
      </c>
      <c r="D74" s="3"/>
      <c r="E74" s="3"/>
      <c r="F74" s="3">
        <v>28.005120000000002</v>
      </c>
      <c r="G74" s="3">
        <v>29.980799999999999</v>
      </c>
      <c r="H74" s="3">
        <v>78.219300000000004</v>
      </c>
      <c r="I74" s="3">
        <v>633.77380000000005</v>
      </c>
      <c r="J74" s="3">
        <v>1793.8920000000001</v>
      </c>
      <c r="K74" s="3">
        <v>140.64400000000001</v>
      </c>
      <c r="L74" s="3">
        <v>168.53100000000001</v>
      </c>
      <c r="M74" s="3">
        <v>464.49959999999999</v>
      </c>
      <c r="N74" s="3">
        <v>4.1574999999999998</v>
      </c>
      <c r="O74" s="3">
        <v>4.1079999999999998E-2</v>
      </c>
      <c r="P74" s="3">
        <v>0.44456000000000001</v>
      </c>
      <c r="Q74" s="3">
        <v>0.34487000000000001</v>
      </c>
      <c r="R74" s="3">
        <v>4.9239800000000002</v>
      </c>
      <c r="S74" s="3">
        <v>42.1648</v>
      </c>
      <c r="T74" s="69"/>
      <c r="U74" s="96"/>
      <c r="V74" s="21">
        <v>27.37</v>
      </c>
    </row>
    <row r="75" spans="2:22" ht="12" customHeight="1" x14ac:dyDescent="0.2">
      <c r="B75" s="69"/>
      <c r="C75" s="196" t="s">
        <v>53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70"/>
      <c r="S75" s="69"/>
      <c r="T75" s="69"/>
      <c r="U75" s="96"/>
      <c r="V75" s="84"/>
    </row>
    <row r="76" spans="2:22" s="26" customFormat="1" x14ac:dyDescent="0.2">
      <c r="B76" s="69"/>
      <c r="C76" s="196" t="s">
        <v>163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70"/>
      <c r="S76" s="69"/>
      <c r="T76" s="69"/>
      <c r="U76" s="96"/>
      <c r="V76" s="84"/>
    </row>
    <row r="77" spans="2:22" s="26" customFormat="1" ht="25.5" x14ac:dyDescent="0.2">
      <c r="B77" s="30" t="s">
        <v>121</v>
      </c>
      <c r="C77" s="28" t="s">
        <v>122</v>
      </c>
      <c r="D77" s="31"/>
      <c r="E77" s="29">
        <v>75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69"/>
      <c r="U77" s="94"/>
      <c r="V77" s="84"/>
    </row>
    <row r="78" spans="2:22" s="26" customFormat="1" x14ac:dyDescent="0.2">
      <c r="B78" s="30"/>
      <c r="C78" s="78" t="s">
        <v>123</v>
      </c>
      <c r="D78" s="34">
        <v>147</v>
      </c>
      <c r="E78" s="34">
        <v>106</v>
      </c>
      <c r="F78" s="36">
        <f>18.7*E78/100</f>
        <v>19.821999999999999</v>
      </c>
      <c r="G78" s="36">
        <f>16.1*E78/100</f>
        <v>17.066000000000003</v>
      </c>
      <c r="H78" s="36">
        <v>0</v>
      </c>
      <c r="I78" s="36">
        <f>220*E78/100</f>
        <v>233.2</v>
      </c>
      <c r="J78" s="37">
        <f>236*E78/100</f>
        <v>250.16</v>
      </c>
      <c r="K78" s="36">
        <f>14*E78/100</f>
        <v>14.84</v>
      </c>
      <c r="L78" s="36">
        <f>19*E78/100</f>
        <v>20.14</v>
      </c>
      <c r="M78" s="36">
        <f>160*E78/100</f>
        <v>169.6</v>
      </c>
      <c r="N78" s="36">
        <f>1.3*E78/100</f>
        <v>1.3780000000000001</v>
      </c>
      <c r="O78" s="36">
        <v>0</v>
      </c>
      <c r="P78" s="36">
        <v>0</v>
      </c>
      <c r="Q78" s="36">
        <v>0</v>
      </c>
      <c r="R78" s="36">
        <f>6.1*E78/100</f>
        <v>6.4659999999999993</v>
      </c>
      <c r="S78" s="36">
        <f>2*E78/100</f>
        <v>2.12</v>
      </c>
      <c r="T78" s="69">
        <v>329.42</v>
      </c>
      <c r="U78" s="92">
        <v>141.57</v>
      </c>
      <c r="V78" s="84">
        <f t="shared" ref="V78:V89" si="7">D78*U78/1000</f>
        <v>20.810789999999997</v>
      </c>
    </row>
    <row r="79" spans="2:22" s="26" customFormat="1" ht="25.5" x14ac:dyDescent="0.2">
      <c r="B79" s="31"/>
      <c r="C79" s="78" t="s">
        <v>34</v>
      </c>
      <c r="D79" s="34">
        <v>2.5</v>
      </c>
      <c r="E79" s="34">
        <v>2.5</v>
      </c>
      <c r="F79" s="69">
        <v>0</v>
      </c>
      <c r="G79" s="69">
        <f>99.9*E79/100</f>
        <v>2.4975000000000001</v>
      </c>
      <c r="H79" s="69">
        <v>0</v>
      </c>
      <c r="I79" s="69">
        <f>899*E79/100</f>
        <v>22.475000000000001</v>
      </c>
      <c r="J79" s="85">
        <v>0</v>
      </c>
      <c r="K79" s="69">
        <v>0</v>
      </c>
      <c r="L79" s="69">
        <v>0</v>
      </c>
      <c r="M79" s="85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29.98</v>
      </c>
      <c r="U79" s="92">
        <v>83.43</v>
      </c>
      <c r="V79" s="84">
        <f t="shared" si="7"/>
        <v>0.20857500000000001</v>
      </c>
    </row>
    <row r="80" spans="2:22" ht="18" customHeight="1" x14ac:dyDescent="0.2">
      <c r="B80" s="136" t="s">
        <v>98</v>
      </c>
      <c r="C80" s="71" t="s">
        <v>99</v>
      </c>
      <c r="D80" s="34"/>
      <c r="E80" s="79">
        <v>75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69">
        <v>35.71</v>
      </c>
      <c r="U80" s="92"/>
      <c r="V80" s="84">
        <f t="shared" si="7"/>
        <v>0</v>
      </c>
    </row>
    <row r="81" spans="2:22" ht="12.75" customHeight="1" x14ac:dyDescent="0.2">
      <c r="B81" s="136"/>
      <c r="C81" s="30" t="s">
        <v>100</v>
      </c>
      <c r="D81" s="34">
        <v>75</v>
      </c>
      <c r="E81" s="34">
        <v>75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23.05</v>
      </c>
      <c r="U81" s="92">
        <v>0</v>
      </c>
      <c r="V81" s="84">
        <f t="shared" si="7"/>
        <v>0</v>
      </c>
    </row>
    <row r="82" spans="2:22" ht="12.75" customHeight="1" x14ac:dyDescent="0.2">
      <c r="B82" s="136"/>
      <c r="C82" s="30" t="s">
        <v>34</v>
      </c>
      <c r="D82" s="34">
        <v>1.5</v>
      </c>
      <c r="E82" s="34">
        <v>1.5</v>
      </c>
      <c r="F82" s="69">
        <v>0</v>
      </c>
      <c r="G82" s="69">
        <f>99.9*E82/100</f>
        <v>1.4985000000000002</v>
      </c>
      <c r="H82" s="69">
        <v>0</v>
      </c>
      <c r="I82" s="69">
        <f>899*E82/100</f>
        <v>13.484999999999999</v>
      </c>
      <c r="J82" s="85">
        <v>0</v>
      </c>
      <c r="K82" s="69">
        <v>0</v>
      </c>
      <c r="L82" s="69">
        <v>0</v>
      </c>
      <c r="M82" s="85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297.44</v>
      </c>
      <c r="U82" s="92">
        <v>83.43</v>
      </c>
      <c r="V82" s="84">
        <f t="shared" si="7"/>
        <v>0.12514500000000001</v>
      </c>
    </row>
    <row r="83" spans="2:22" ht="12.75" customHeight="1" x14ac:dyDescent="0.2">
      <c r="B83" s="136"/>
      <c r="C83" s="30" t="s">
        <v>38</v>
      </c>
      <c r="D83" s="34">
        <v>3.8</v>
      </c>
      <c r="E83" s="34">
        <v>3.8</v>
      </c>
      <c r="F83" s="69">
        <f>10.3*E83/100</f>
        <v>0.39140000000000003</v>
      </c>
      <c r="G83" s="69">
        <f>1.1*E83/100</f>
        <v>4.1799999999999997E-2</v>
      </c>
      <c r="H83" s="69">
        <f>69*E83/100</f>
        <v>2.6219999999999999</v>
      </c>
      <c r="I83" s="69">
        <f>334*E83/100</f>
        <v>12.692</v>
      </c>
      <c r="J83" s="85">
        <f>176*E83/100</f>
        <v>6.6879999999999997</v>
      </c>
      <c r="K83" s="69">
        <f>24*E83/100</f>
        <v>0.91199999999999992</v>
      </c>
      <c r="L83" s="69">
        <f>44*E83/100</f>
        <v>1.6719999999999999</v>
      </c>
      <c r="M83" s="85">
        <f>115*E83/100</f>
        <v>4.37</v>
      </c>
      <c r="N83" s="69">
        <f>2.1*E83/100</f>
        <v>7.9799999999999996E-2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29.98</v>
      </c>
      <c r="U83" s="92">
        <v>27.31</v>
      </c>
      <c r="V83" s="84">
        <f t="shared" si="7"/>
        <v>0.103778</v>
      </c>
    </row>
    <row r="84" spans="2:22" ht="12.75" customHeight="1" x14ac:dyDescent="0.2">
      <c r="B84" s="136"/>
      <c r="C84" s="30" t="s">
        <v>36</v>
      </c>
      <c r="D84" s="34">
        <v>3</v>
      </c>
      <c r="E84" s="34">
        <v>3</v>
      </c>
      <c r="F84" s="34">
        <f>4.8*E84/100</f>
        <v>0.14399999999999999</v>
      </c>
      <c r="G84" s="34">
        <v>0</v>
      </c>
      <c r="H84" s="34">
        <f>19*E84/100</f>
        <v>0.56999999999999995</v>
      </c>
      <c r="I84" s="34">
        <f>102*E84/100</f>
        <v>3.06</v>
      </c>
      <c r="J84" s="34">
        <f>875*E84/100</f>
        <v>26.25</v>
      </c>
      <c r="K84" s="34">
        <f>20*E84/100</f>
        <v>0.6</v>
      </c>
      <c r="L84" s="34">
        <f>50*E84/100</f>
        <v>1.5</v>
      </c>
      <c r="M84" s="34">
        <f>68*E84/100</f>
        <v>2.04</v>
      </c>
      <c r="N84" s="34">
        <f>2.3*E84/100</f>
        <v>6.8999999999999992E-2</v>
      </c>
      <c r="O84" s="34">
        <v>0</v>
      </c>
      <c r="P84" s="34">
        <v>0</v>
      </c>
      <c r="Q84" s="34">
        <v>0</v>
      </c>
      <c r="R84" s="34">
        <v>0</v>
      </c>
      <c r="S84" s="34">
        <f>45*E84/100</f>
        <v>1.35</v>
      </c>
      <c r="T84" s="69">
        <v>11.03</v>
      </c>
      <c r="U84" s="92">
        <v>120</v>
      </c>
      <c r="V84" s="84">
        <f t="shared" si="7"/>
        <v>0.36</v>
      </c>
    </row>
    <row r="85" spans="2:22" ht="12.75" customHeight="1" x14ac:dyDescent="0.2">
      <c r="B85" s="136"/>
      <c r="C85" s="30" t="s">
        <v>32</v>
      </c>
      <c r="D85" s="34">
        <v>7.5</v>
      </c>
      <c r="E85" s="34">
        <v>6</v>
      </c>
      <c r="F85" s="34">
        <f>1.3*E85/100</f>
        <v>7.8000000000000014E-2</v>
      </c>
      <c r="G85" s="34">
        <v>0</v>
      </c>
      <c r="H85" s="34">
        <f>6.9*E85/100</f>
        <v>0.41400000000000003</v>
      </c>
      <c r="I85" s="34">
        <f>35*E85/100</f>
        <v>2.1</v>
      </c>
      <c r="J85" s="34">
        <f>200*E85/100</f>
        <v>12</v>
      </c>
      <c r="K85" s="34">
        <f>27*E85/100</f>
        <v>1.62</v>
      </c>
      <c r="L85" s="34">
        <f>38*E85/100</f>
        <v>2.2799999999999998</v>
      </c>
      <c r="M85" s="34">
        <f>55*E85/100</f>
        <v>3.3</v>
      </c>
      <c r="N85" s="34">
        <v>0</v>
      </c>
      <c r="O85" s="34">
        <v>0</v>
      </c>
      <c r="P85" s="34">
        <v>0</v>
      </c>
      <c r="Q85" s="34">
        <v>0</v>
      </c>
      <c r="R85" s="34">
        <f>1*E85/100</f>
        <v>0.06</v>
      </c>
      <c r="S85" s="34">
        <f>5*E85/100</f>
        <v>0.3</v>
      </c>
      <c r="T85" s="69"/>
      <c r="U85" s="92">
        <v>32.71</v>
      </c>
      <c r="V85" s="84">
        <f t="shared" si="7"/>
        <v>0.24532500000000002</v>
      </c>
    </row>
    <row r="86" spans="2:22" ht="12.75" customHeight="1" x14ac:dyDescent="0.2">
      <c r="B86" s="136"/>
      <c r="C86" s="30" t="s">
        <v>33</v>
      </c>
      <c r="D86" s="159">
        <v>1.8</v>
      </c>
      <c r="E86" s="160">
        <v>1.5</v>
      </c>
      <c r="F86" s="69">
        <f>1.4*E86/100</f>
        <v>2.0999999999999998E-2</v>
      </c>
      <c r="G86" s="157">
        <v>0</v>
      </c>
      <c r="H86" s="157">
        <f>8.2*E86/100</f>
        <v>0.12299999999999998</v>
      </c>
      <c r="I86" s="157">
        <f>41*E86/100</f>
        <v>0.61499999999999999</v>
      </c>
      <c r="J86" s="158">
        <f>175*E86/100</f>
        <v>2.625</v>
      </c>
      <c r="K86" s="157">
        <f>31*E86/100</f>
        <v>0.46500000000000002</v>
      </c>
      <c r="L86" s="157">
        <f>14*E86/100</f>
        <v>0.21</v>
      </c>
      <c r="M86" s="158">
        <f>58*E86/100</f>
        <v>0.87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f>10*E86/100</f>
        <v>0.15</v>
      </c>
      <c r="T86" s="69"/>
      <c r="U86" s="92">
        <v>29.62</v>
      </c>
      <c r="V86" s="84">
        <f t="shared" si="7"/>
        <v>5.3316000000000002E-2</v>
      </c>
    </row>
    <row r="87" spans="2:22" ht="12.75" customHeight="1" x14ac:dyDescent="0.2">
      <c r="B87" s="136"/>
      <c r="C87" s="30" t="s">
        <v>30</v>
      </c>
      <c r="D87" s="69">
        <v>1.1000000000000001</v>
      </c>
      <c r="E87" s="69">
        <v>1.1000000000000001</v>
      </c>
      <c r="F87" s="84">
        <v>0</v>
      </c>
      <c r="G87" s="84">
        <v>0</v>
      </c>
      <c r="H87" s="84">
        <f>99.8*E87/100</f>
        <v>1.0978000000000001</v>
      </c>
      <c r="I87" s="84">
        <f>379*E87/100</f>
        <v>4.1690000000000005</v>
      </c>
      <c r="J87" s="84">
        <f>3*E87/100</f>
        <v>3.3000000000000002E-2</v>
      </c>
      <c r="K87" s="84">
        <f>2*E87/100</f>
        <v>2.2000000000000002E-2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0</v>
      </c>
      <c r="S87" s="84">
        <v>0</v>
      </c>
      <c r="T87" s="69">
        <v>0</v>
      </c>
      <c r="U87" s="92">
        <v>50.97</v>
      </c>
      <c r="V87" s="84">
        <f t="shared" si="7"/>
        <v>5.6066999999999999E-2</v>
      </c>
    </row>
    <row r="88" spans="2:22" ht="12.75" customHeight="1" x14ac:dyDescent="0.2">
      <c r="B88" s="136"/>
      <c r="C88" s="30" t="s">
        <v>46</v>
      </c>
      <c r="D88" s="69">
        <v>0.75</v>
      </c>
      <c r="E88" s="69">
        <v>0.75</v>
      </c>
      <c r="F88" s="69">
        <v>0</v>
      </c>
      <c r="G88" s="69">
        <v>0</v>
      </c>
      <c r="H88" s="69">
        <v>0</v>
      </c>
      <c r="I88" s="69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69">
        <v>71.02</v>
      </c>
      <c r="U88" s="92">
        <v>11.63</v>
      </c>
      <c r="V88" s="84">
        <f t="shared" si="7"/>
        <v>8.7224999999999994E-3</v>
      </c>
    </row>
    <row r="89" spans="2:22" ht="12.75" customHeight="1" x14ac:dyDescent="0.2">
      <c r="B89" s="136"/>
      <c r="C89" s="76" t="s">
        <v>39</v>
      </c>
      <c r="D89" s="69">
        <v>1.4999999999999999E-2</v>
      </c>
      <c r="E89" s="69">
        <v>1.4999999999999999E-2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24.11</v>
      </c>
      <c r="U89" s="92">
        <v>300</v>
      </c>
      <c r="V89" s="84">
        <f t="shared" si="7"/>
        <v>4.4999999999999997E-3</v>
      </c>
    </row>
    <row r="90" spans="2:22" ht="12.75" customHeight="1" x14ac:dyDescent="0.2">
      <c r="B90" s="136"/>
      <c r="C90" s="71" t="s">
        <v>77</v>
      </c>
      <c r="D90" s="69"/>
      <c r="E90" s="69"/>
      <c r="F90" s="3">
        <f t="shared" ref="F90:S90" si="8">SUM(F81:F89)+F78+F79</f>
        <v>20.456399999999999</v>
      </c>
      <c r="G90" s="3">
        <f t="shared" si="8"/>
        <v>21.103800000000003</v>
      </c>
      <c r="H90" s="3">
        <f t="shared" si="8"/>
        <v>4.8267999999999995</v>
      </c>
      <c r="I90" s="3">
        <f t="shared" si="8"/>
        <v>291.79599999999999</v>
      </c>
      <c r="J90" s="3">
        <f t="shared" si="8"/>
        <v>297.75599999999997</v>
      </c>
      <c r="K90" s="3">
        <f t="shared" si="8"/>
        <v>18.459</v>
      </c>
      <c r="L90" s="3">
        <f t="shared" si="8"/>
        <v>25.802</v>
      </c>
      <c r="M90" s="3">
        <f t="shared" si="8"/>
        <v>180.18</v>
      </c>
      <c r="N90" s="3">
        <f t="shared" si="8"/>
        <v>1.5268000000000002</v>
      </c>
      <c r="O90" s="3">
        <f t="shared" si="8"/>
        <v>0</v>
      </c>
      <c r="P90" s="3">
        <f t="shared" si="8"/>
        <v>0</v>
      </c>
      <c r="Q90" s="3">
        <f t="shared" si="8"/>
        <v>0</v>
      </c>
      <c r="R90" s="3">
        <f t="shared" si="8"/>
        <v>6.5259999999999989</v>
      </c>
      <c r="S90" s="3">
        <f t="shared" si="8"/>
        <v>3.92</v>
      </c>
      <c r="T90" s="69">
        <v>160.44999999999999</v>
      </c>
      <c r="U90" s="92"/>
      <c r="V90" s="21">
        <v>21.98</v>
      </c>
    </row>
    <row r="91" spans="2:22" ht="12.75" customHeight="1" x14ac:dyDescent="0.2">
      <c r="B91" s="144" t="s">
        <v>6</v>
      </c>
      <c r="C91" s="5" t="s">
        <v>118</v>
      </c>
      <c r="D91" s="69"/>
      <c r="E91" s="3">
        <v>150</v>
      </c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>
        <v>28.06</v>
      </c>
      <c r="U91" s="92"/>
      <c r="V91" s="84"/>
    </row>
    <row r="92" spans="2:22" ht="12.75" customHeight="1" x14ac:dyDescent="0.2">
      <c r="B92" s="144"/>
      <c r="C92" s="65" t="s">
        <v>86</v>
      </c>
      <c r="D92" s="69">
        <v>58.2</v>
      </c>
      <c r="E92" s="69">
        <v>58.2</v>
      </c>
      <c r="F92" s="69">
        <f>12.5*E92/100</f>
        <v>7.2750000000000004</v>
      </c>
      <c r="G92" s="69">
        <v>0</v>
      </c>
      <c r="H92" s="69">
        <f>71.8*E92/100</f>
        <v>41.787600000000005</v>
      </c>
      <c r="I92" s="69">
        <f>326*E92/100</f>
        <v>189.732</v>
      </c>
      <c r="J92" s="69">
        <v>0</v>
      </c>
      <c r="K92" s="69">
        <v>0</v>
      </c>
      <c r="L92" s="69">
        <v>0</v>
      </c>
      <c r="M92" s="69">
        <f>276*E92/100</f>
        <v>160.63200000000001</v>
      </c>
      <c r="N92" s="69">
        <f>6.7*E92/100</f>
        <v>3.8994000000000004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25.73</v>
      </c>
      <c r="U92" s="92">
        <v>26.62</v>
      </c>
      <c r="V92" s="84">
        <f>D92*U92/1000</f>
        <v>1.5492840000000001</v>
      </c>
    </row>
    <row r="93" spans="2:22" ht="12.75" customHeight="1" x14ac:dyDescent="0.2">
      <c r="B93" s="144"/>
      <c r="C93" s="65" t="s">
        <v>46</v>
      </c>
      <c r="D93" s="69">
        <v>0.3</v>
      </c>
      <c r="E93" s="69">
        <v>0.3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30.63</v>
      </c>
      <c r="U93" s="92">
        <v>11.63</v>
      </c>
      <c r="V93" s="84">
        <f>D93*U93/1000</f>
        <v>3.4890000000000003E-3</v>
      </c>
    </row>
    <row r="94" spans="2:22" ht="12.75" customHeight="1" x14ac:dyDescent="0.2">
      <c r="B94" s="144"/>
      <c r="C94" s="65" t="s">
        <v>37</v>
      </c>
      <c r="D94" s="69">
        <v>5</v>
      </c>
      <c r="E94" s="69">
        <v>5</v>
      </c>
      <c r="F94" s="69">
        <f>0.8*E94/100</f>
        <v>0.04</v>
      </c>
      <c r="G94" s="69">
        <f>72.5*E94/100</f>
        <v>3.625</v>
      </c>
      <c r="H94" s="69">
        <f>1.3*E94/100</f>
        <v>6.5000000000000002E-2</v>
      </c>
      <c r="I94" s="69">
        <f>661*E94/100</f>
        <v>33.049999999999997</v>
      </c>
      <c r="J94" s="86">
        <f>23*E94/100</f>
        <v>1.1499999999999999</v>
      </c>
      <c r="K94" s="69">
        <f>22*E94/100</f>
        <v>1.1000000000000001</v>
      </c>
      <c r="L94" s="69">
        <f>3*E94/100</f>
        <v>0.15</v>
      </c>
      <c r="M94" s="85">
        <f>19*E94/100</f>
        <v>0.95</v>
      </c>
      <c r="N94" s="69">
        <f>0.2*E94/100</f>
        <v>0.01</v>
      </c>
      <c r="O94" s="69">
        <f>0.5*E94/100</f>
        <v>2.5000000000000001E-2</v>
      </c>
      <c r="P94" s="69">
        <f>0</f>
        <v>0</v>
      </c>
      <c r="Q94" s="96">
        <f>0.01*E94/1000</f>
        <v>5.0000000000000002E-5</v>
      </c>
      <c r="R94" s="69">
        <f>0.1*E94/100</f>
        <v>5.0000000000000001E-3</v>
      </c>
      <c r="S94" s="69">
        <f>0</f>
        <v>0</v>
      </c>
      <c r="T94" s="69">
        <v>11.03</v>
      </c>
      <c r="U94" s="92">
        <v>337.78</v>
      </c>
      <c r="V94" s="84">
        <f>D94*U94/1000</f>
        <v>1.6888999999999998</v>
      </c>
    </row>
    <row r="95" spans="2:22" ht="12.75" customHeight="1" x14ac:dyDescent="0.2">
      <c r="B95" s="144"/>
      <c r="C95" s="71" t="s">
        <v>77</v>
      </c>
      <c r="D95" s="84"/>
      <c r="E95" s="84"/>
      <c r="F95" s="21">
        <f>F92+F93+F94</f>
        <v>7.3150000000000004</v>
      </c>
      <c r="G95" s="21">
        <f t="shared" ref="G95:S95" si="9">G92+G93+G94</f>
        <v>3.625</v>
      </c>
      <c r="H95" s="21">
        <f t="shared" si="9"/>
        <v>41.852600000000002</v>
      </c>
      <c r="I95" s="21">
        <f t="shared" si="9"/>
        <v>222.78199999999998</v>
      </c>
      <c r="J95" s="21">
        <f t="shared" si="9"/>
        <v>1.1499999999999999</v>
      </c>
      <c r="K95" s="21">
        <f t="shared" si="9"/>
        <v>1.1000000000000001</v>
      </c>
      <c r="L95" s="21">
        <f t="shared" si="9"/>
        <v>0.15</v>
      </c>
      <c r="M95" s="21">
        <f t="shared" si="9"/>
        <v>161.58199999999999</v>
      </c>
      <c r="N95" s="21">
        <f t="shared" si="9"/>
        <v>3.9094000000000002</v>
      </c>
      <c r="O95" s="21">
        <f t="shared" si="9"/>
        <v>2.5000000000000001E-2</v>
      </c>
      <c r="P95" s="21">
        <f t="shared" si="9"/>
        <v>0</v>
      </c>
      <c r="Q95" s="21">
        <f t="shared" si="9"/>
        <v>5.0000000000000002E-5</v>
      </c>
      <c r="R95" s="21">
        <f t="shared" si="9"/>
        <v>5.0000000000000001E-3</v>
      </c>
      <c r="S95" s="21">
        <f t="shared" si="9"/>
        <v>0</v>
      </c>
      <c r="T95" s="69">
        <v>300</v>
      </c>
      <c r="U95" s="92"/>
      <c r="V95" s="21">
        <f>V92+V93+V94</f>
        <v>3.241673</v>
      </c>
    </row>
    <row r="96" spans="2:22" x14ac:dyDescent="0.2">
      <c r="B96" s="69" t="s">
        <v>73</v>
      </c>
      <c r="C96" s="5" t="s">
        <v>74</v>
      </c>
      <c r="D96" s="313" t="s">
        <v>75</v>
      </c>
      <c r="E96" s="314"/>
      <c r="F96" s="4"/>
      <c r="G96" s="4"/>
      <c r="H96" s="4"/>
      <c r="I96" s="4"/>
      <c r="J96" s="11"/>
      <c r="K96" s="4"/>
      <c r="L96" s="4"/>
      <c r="M96" s="11"/>
      <c r="N96" s="4"/>
      <c r="O96" s="4"/>
      <c r="P96" s="4"/>
      <c r="Q96" s="4"/>
      <c r="R96" s="51"/>
      <c r="S96" s="4"/>
      <c r="T96" s="69"/>
      <c r="U96" s="96"/>
      <c r="V96" s="84"/>
    </row>
    <row r="97" spans="1:23" x14ac:dyDescent="0.2">
      <c r="B97" s="69"/>
      <c r="C97" s="65" t="s">
        <v>40</v>
      </c>
      <c r="D97" s="159">
        <v>50</v>
      </c>
      <c r="E97" s="159">
        <v>50</v>
      </c>
      <c r="F97" s="69">
        <v>0.1</v>
      </c>
      <c r="G97" s="69">
        <v>0</v>
      </c>
      <c r="H97" s="69">
        <v>0</v>
      </c>
      <c r="I97" s="69">
        <v>0.8</v>
      </c>
      <c r="J97" s="85">
        <v>12.4</v>
      </c>
      <c r="K97" s="69">
        <v>2.5</v>
      </c>
      <c r="L97" s="69">
        <v>2.2000000000000002</v>
      </c>
      <c r="M97" s="85">
        <v>4.12</v>
      </c>
      <c r="N97" s="69">
        <v>0.4</v>
      </c>
      <c r="O97" s="69">
        <v>0</v>
      </c>
      <c r="P97" s="69">
        <v>0</v>
      </c>
      <c r="Q97" s="69">
        <v>0</v>
      </c>
      <c r="R97" s="70">
        <v>0</v>
      </c>
      <c r="S97" s="69">
        <v>0</v>
      </c>
      <c r="T97" s="69"/>
      <c r="U97" s="96">
        <v>539.16999999999996</v>
      </c>
      <c r="V97" s="84">
        <f>1*U97/1000</f>
        <v>0.53916999999999993</v>
      </c>
    </row>
    <row r="98" spans="1:23" x14ac:dyDescent="0.2">
      <c r="B98" s="69"/>
      <c r="C98" s="65" t="s">
        <v>30</v>
      </c>
      <c r="D98" s="159">
        <v>15</v>
      </c>
      <c r="E98" s="159">
        <v>15</v>
      </c>
      <c r="F98" s="69">
        <v>0</v>
      </c>
      <c r="G98" s="69">
        <v>0</v>
      </c>
      <c r="H98" s="69">
        <v>15</v>
      </c>
      <c r="I98" s="69">
        <v>56.9</v>
      </c>
      <c r="J98" s="85">
        <v>0.5</v>
      </c>
      <c r="K98" s="69">
        <v>0.4</v>
      </c>
      <c r="L98" s="69">
        <v>0</v>
      </c>
      <c r="M98" s="85">
        <v>0</v>
      </c>
      <c r="N98" s="69">
        <v>0</v>
      </c>
      <c r="O98" s="69">
        <v>0</v>
      </c>
      <c r="P98" s="69">
        <v>0</v>
      </c>
      <c r="Q98" s="69">
        <v>0</v>
      </c>
      <c r="R98" s="70">
        <v>0</v>
      </c>
      <c r="S98" s="69">
        <v>0</v>
      </c>
      <c r="T98" s="69"/>
      <c r="U98" s="96">
        <v>50.97</v>
      </c>
      <c r="V98" s="84">
        <f>D98*U98/1000</f>
        <v>0.76454999999999995</v>
      </c>
    </row>
    <row r="99" spans="1:23" x14ac:dyDescent="0.2">
      <c r="B99" s="69"/>
      <c r="C99" s="65" t="s">
        <v>35</v>
      </c>
      <c r="D99" s="159">
        <v>150</v>
      </c>
      <c r="E99" s="159">
        <v>150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70">
        <v>0</v>
      </c>
      <c r="S99" s="69">
        <v>0</v>
      </c>
      <c r="T99" s="69"/>
      <c r="U99" s="96">
        <v>0</v>
      </c>
      <c r="V99" s="84">
        <f>D99*U99/1000</f>
        <v>0</v>
      </c>
    </row>
    <row r="100" spans="1:23" x14ac:dyDescent="0.2">
      <c r="B100" s="69"/>
      <c r="C100" s="39" t="s">
        <v>47</v>
      </c>
      <c r="D100" s="3"/>
      <c r="E100" s="3"/>
      <c r="F100" s="3">
        <f t="shared" ref="F100:S100" si="10">SUM(F97:F99)</f>
        <v>0.1</v>
      </c>
      <c r="G100" s="3">
        <f t="shared" si="10"/>
        <v>0</v>
      </c>
      <c r="H100" s="3">
        <f t="shared" si="10"/>
        <v>15</v>
      </c>
      <c r="I100" s="3">
        <f t="shared" si="10"/>
        <v>57.699999999999996</v>
      </c>
      <c r="J100" s="3">
        <f t="shared" si="10"/>
        <v>12.9</v>
      </c>
      <c r="K100" s="3">
        <f t="shared" si="10"/>
        <v>2.9</v>
      </c>
      <c r="L100" s="3">
        <f t="shared" si="10"/>
        <v>2.2000000000000002</v>
      </c>
      <c r="M100" s="3">
        <f t="shared" si="10"/>
        <v>4.12</v>
      </c>
      <c r="N100" s="3">
        <f t="shared" si="10"/>
        <v>0.4</v>
      </c>
      <c r="O100" s="3">
        <f t="shared" si="10"/>
        <v>0</v>
      </c>
      <c r="P100" s="3">
        <f t="shared" si="10"/>
        <v>0</v>
      </c>
      <c r="Q100" s="3">
        <f t="shared" si="10"/>
        <v>0</v>
      </c>
      <c r="R100" s="50">
        <f t="shared" si="10"/>
        <v>0</v>
      </c>
      <c r="S100" s="3">
        <f t="shared" si="10"/>
        <v>0</v>
      </c>
      <c r="T100" s="3"/>
      <c r="U100" s="32"/>
      <c r="V100" s="21">
        <f>SUM(V97:V99)</f>
        <v>1.3037199999999998</v>
      </c>
    </row>
    <row r="101" spans="1:23" s="26" customFormat="1" ht="25.5" x14ac:dyDescent="0.2">
      <c r="B101" s="69" t="s">
        <v>24</v>
      </c>
      <c r="C101" s="5" t="s">
        <v>105</v>
      </c>
      <c r="D101" s="196">
        <v>30</v>
      </c>
      <c r="E101" s="196">
        <v>30</v>
      </c>
      <c r="F101" s="3">
        <v>1.54</v>
      </c>
      <c r="G101" s="3">
        <v>0.6</v>
      </c>
      <c r="H101" s="3">
        <v>9.9600000000000009</v>
      </c>
      <c r="I101" s="3">
        <v>52.4</v>
      </c>
      <c r="J101" s="7">
        <v>25.4</v>
      </c>
      <c r="K101" s="3">
        <v>5.2</v>
      </c>
      <c r="L101" s="3">
        <v>7</v>
      </c>
      <c r="M101" s="7">
        <v>16.600000000000001</v>
      </c>
      <c r="N101" s="3">
        <v>0.32</v>
      </c>
      <c r="O101" s="3">
        <v>0</v>
      </c>
      <c r="P101" s="3">
        <v>3.2000000000000001E-2</v>
      </c>
      <c r="Q101" s="3">
        <v>1.6E-2</v>
      </c>
      <c r="R101" s="3">
        <v>0.308</v>
      </c>
      <c r="S101" s="3">
        <v>0</v>
      </c>
      <c r="T101" s="69">
        <v>29.29</v>
      </c>
      <c r="U101" s="96">
        <v>0.58584000000000003</v>
      </c>
      <c r="V101" s="84"/>
    </row>
    <row r="102" spans="1:23" s="26" customFormat="1" ht="28.5" customHeight="1" x14ac:dyDescent="0.2">
      <c r="B102" s="69"/>
      <c r="C102" s="3" t="s">
        <v>164</v>
      </c>
      <c r="D102" s="159"/>
      <c r="E102" s="159"/>
      <c r="F102" s="3">
        <v>30.317350000000001</v>
      </c>
      <c r="G102" s="3">
        <v>29.9864</v>
      </c>
      <c r="H102" s="3">
        <v>105.1669</v>
      </c>
      <c r="I102" s="3">
        <v>857.90599999999995</v>
      </c>
      <c r="J102" s="3">
        <v>915.04</v>
      </c>
      <c r="K102" s="3">
        <v>65.564999999999998</v>
      </c>
      <c r="L102" s="3">
        <v>83.597999999999999</v>
      </c>
      <c r="M102" s="3">
        <v>316.44049999999999</v>
      </c>
      <c r="N102" s="3">
        <v>8.1491500000000006</v>
      </c>
      <c r="O102" s="3">
        <v>0.11069</v>
      </c>
      <c r="P102" s="3">
        <v>0.53471500000000005</v>
      </c>
      <c r="Q102" s="3">
        <v>0.35713</v>
      </c>
      <c r="R102" s="3">
        <v>10.23165</v>
      </c>
      <c r="S102" s="3">
        <v>21.312000000000001</v>
      </c>
      <c r="U102" s="165">
        <v>26</v>
      </c>
      <c r="V102" s="21">
        <v>26</v>
      </c>
    </row>
    <row r="103" spans="1:23" x14ac:dyDescent="0.2">
      <c r="B103" s="69"/>
      <c r="C103" s="196" t="s">
        <v>56</v>
      </c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70"/>
      <c r="S103" s="69"/>
      <c r="T103" s="69"/>
      <c r="U103" s="96"/>
      <c r="V103" s="84"/>
    </row>
    <row r="104" spans="1:23" x14ac:dyDescent="0.2">
      <c r="B104" s="69"/>
      <c r="C104" s="196" t="s">
        <v>163</v>
      </c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70"/>
      <c r="S104" s="69"/>
      <c r="T104" s="69"/>
      <c r="U104" s="96"/>
      <c r="V104" s="84"/>
    </row>
    <row r="105" spans="1:23" ht="31.5" x14ac:dyDescent="0.2">
      <c r="B105" s="70" t="s">
        <v>95</v>
      </c>
      <c r="C105" s="259" t="s">
        <v>93</v>
      </c>
      <c r="D105" s="167"/>
      <c r="E105" s="167">
        <v>80</v>
      </c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3"/>
      <c r="U105" s="96"/>
      <c r="V105" s="69"/>
    </row>
    <row r="106" spans="1:23" x14ac:dyDescent="0.2">
      <c r="B106" s="70"/>
      <c r="C106" s="173" t="s">
        <v>94</v>
      </c>
      <c r="D106" s="167">
        <v>136</v>
      </c>
      <c r="E106" s="167">
        <v>56</v>
      </c>
      <c r="F106" s="84">
        <v>10.472</v>
      </c>
      <c r="G106" s="84">
        <v>9.016</v>
      </c>
      <c r="H106" s="84">
        <v>0</v>
      </c>
      <c r="I106" s="84">
        <v>123.2</v>
      </c>
      <c r="J106" s="84">
        <v>132.19999999999999</v>
      </c>
      <c r="K106" s="84">
        <v>7.84</v>
      </c>
      <c r="L106" s="84">
        <v>10.64</v>
      </c>
      <c r="M106" s="84">
        <v>89.6</v>
      </c>
      <c r="N106" s="84">
        <v>0.72799999999999998</v>
      </c>
      <c r="O106" s="84">
        <v>2.24E-2</v>
      </c>
      <c r="P106" s="84">
        <v>5.04E-2</v>
      </c>
      <c r="Q106" s="84">
        <v>8.4000000000000005E-2</v>
      </c>
      <c r="R106" s="84">
        <v>3.4159999999999999</v>
      </c>
      <c r="S106" s="84">
        <v>1.1200000000000001</v>
      </c>
      <c r="T106" s="3">
        <v>110.79</v>
      </c>
      <c r="U106" s="96">
        <v>15.06744</v>
      </c>
      <c r="V106" s="96">
        <v>15.06744</v>
      </c>
    </row>
    <row r="107" spans="1:23" s="67" customFormat="1" x14ac:dyDescent="0.2">
      <c r="A107" s="154"/>
      <c r="B107" s="70"/>
      <c r="C107" s="173" t="s">
        <v>81</v>
      </c>
      <c r="D107" s="167">
        <v>12.8</v>
      </c>
      <c r="E107" s="167">
        <v>12.8</v>
      </c>
      <c r="F107" s="84">
        <v>0.98560000000000003</v>
      </c>
      <c r="G107" s="84">
        <v>0.38400000000000001</v>
      </c>
      <c r="H107" s="84">
        <v>6.3743999999999996</v>
      </c>
      <c r="I107" s="84">
        <v>33.536000000000001</v>
      </c>
      <c r="J107" s="84">
        <v>16.3</v>
      </c>
      <c r="K107" s="84">
        <v>3.3279999999999998</v>
      </c>
      <c r="L107" s="84">
        <v>4.4800000000000004</v>
      </c>
      <c r="M107" s="84">
        <v>10.6</v>
      </c>
      <c r="N107" s="84">
        <v>0.20480000000000001</v>
      </c>
      <c r="O107" s="84">
        <v>0</v>
      </c>
      <c r="P107" s="84">
        <v>2.0480000000000002E-2</v>
      </c>
      <c r="Q107" s="84">
        <v>1.0240000000000001E-2</v>
      </c>
      <c r="R107" s="84">
        <v>0.19711999999999999</v>
      </c>
      <c r="S107" s="84">
        <v>0</v>
      </c>
      <c r="T107" s="3">
        <v>29.92</v>
      </c>
      <c r="U107" s="96">
        <v>0.38297599999999998</v>
      </c>
      <c r="V107" s="96">
        <v>0.38297599999999998</v>
      </c>
      <c r="W107" s="154"/>
    </row>
    <row r="108" spans="1:23" x14ac:dyDescent="0.2">
      <c r="B108" s="70"/>
      <c r="C108" s="173" t="s">
        <v>87</v>
      </c>
      <c r="D108" s="167">
        <v>3.2</v>
      </c>
      <c r="E108" s="167">
        <v>3.2</v>
      </c>
      <c r="F108" s="84">
        <v>0.59840000000000004</v>
      </c>
      <c r="G108" s="84">
        <v>0.51519999999999999</v>
      </c>
      <c r="H108" s="84">
        <v>0</v>
      </c>
      <c r="I108" s="84">
        <v>7.04</v>
      </c>
      <c r="J108" s="84">
        <v>7.6</v>
      </c>
      <c r="K108" s="84">
        <v>0.44800000000000001</v>
      </c>
      <c r="L108" s="84">
        <v>0.60799999999999998</v>
      </c>
      <c r="M108" s="84">
        <v>5.12</v>
      </c>
      <c r="N108" s="84">
        <v>4.1599999999999998E-2</v>
      </c>
      <c r="O108" s="84">
        <v>1.2800000000000001E-3</v>
      </c>
      <c r="P108" s="84">
        <v>2.8800000000000002E-3</v>
      </c>
      <c r="Q108" s="84">
        <v>4.7999999999999996E-3</v>
      </c>
      <c r="R108" s="84">
        <v>0.19520000000000001</v>
      </c>
      <c r="S108" s="84">
        <v>6.4000000000000001E-2</v>
      </c>
      <c r="T108" s="3">
        <v>0</v>
      </c>
      <c r="U108" s="96">
        <v>0</v>
      </c>
      <c r="V108" s="96">
        <v>0</v>
      </c>
    </row>
    <row r="109" spans="1:23" x14ac:dyDescent="0.2">
      <c r="B109" s="70"/>
      <c r="C109" s="173" t="s">
        <v>88</v>
      </c>
      <c r="D109" s="167">
        <v>19.2</v>
      </c>
      <c r="E109" s="167">
        <v>19.2</v>
      </c>
      <c r="F109" s="84">
        <v>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3">
        <v>0</v>
      </c>
      <c r="U109" s="96">
        <v>0</v>
      </c>
      <c r="V109" s="96">
        <v>0</v>
      </c>
    </row>
    <row r="110" spans="1:23" x14ac:dyDescent="0.2">
      <c r="B110" s="70"/>
      <c r="C110" s="173" t="s">
        <v>82</v>
      </c>
      <c r="D110" s="167">
        <v>8</v>
      </c>
      <c r="E110" s="167">
        <v>8</v>
      </c>
      <c r="F110" s="84">
        <v>0.61599999999999999</v>
      </c>
      <c r="G110" s="84">
        <v>0.24</v>
      </c>
      <c r="H110" s="84">
        <v>3.984</v>
      </c>
      <c r="I110" s="84">
        <v>20.96</v>
      </c>
      <c r="J110" s="84">
        <v>10.199999999999999</v>
      </c>
      <c r="K110" s="84">
        <v>2.08</v>
      </c>
      <c r="L110" s="84">
        <v>2.8</v>
      </c>
      <c r="M110" s="84">
        <v>6.6</v>
      </c>
      <c r="N110" s="84">
        <v>0.128</v>
      </c>
      <c r="O110" s="84">
        <v>0</v>
      </c>
      <c r="P110" s="84">
        <v>1.2800000000000001E-2</v>
      </c>
      <c r="Q110" s="84">
        <v>6.4000000000000003E-3</v>
      </c>
      <c r="R110" s="84">
        <v>0.1232</v>
      </c>
      <c r="S110" s="84">
        <v>0</v>
      </c>
      <c r="T110" s="3">
        <v>29.92</v>
      </c>
      <c r="U110" s="96">
        <v>0.23935999999999999</v>
      </c>
      <c r="V110" s="96">
        <v>0.23935999999999999</v>
      </c>
    </row>
    <row r="111" spans="1:23" x14ac:dyDescent="0.2">
      <c r="B111" s="70"/>
      <c r="C111" s="173" t="s">
        <v>78</v>
      </c>
      <c r="D111" s="167">
        <v>4.8</v>
      </c>
      <c r="E111" s="167">
        <v>4.8</v>
      </c>
      <c r="F111" s="84">
        <v>0</v>
      </c>
      <c r="G111" s="84">
        <v>4.7952000000000004</v>
      </c>
      <c r="H111" s="84">
        <v>0</v>
      </c>
      <c r="I111" s="84">
        <v>43.152000000000001</v>
      </c>
      <c r="J111" s="84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3">
        <v>70.400000000000006</v>
      </c>
      <c r="U111" s="96">
        <v>0.33792</v>
      </c>
      <c r="V111" s="96">
        <v>0.33792</v>
      </c>
    </row>
    <row r="112" spans="1:23" x14ac:dyDescent="0.2">
      <c r="B112" s="70"/>
      <c r="C112" s="173" t="s">
        <v>46</v>
      </c>
      <c r="D112" s="167">
        <v>2.4</v>
      </c>
      <c r="E112" s="167">
        <v>2.4</v>
      </c>
      <c r="F112" s="84">
        <v>0</v>
      </c>
      <c r="G112" s="84">
        <v>0</v>
      </c>
      <c r="H112" s="84">
        <v>0</v>
      </c>
      <c r="I112" s="84">
        <v>0</v>
      </c>
      <c r="J112" s="84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3">
        <v>11.13</v>
      </c>
      <c r="U112" s="96">
        <v>2.6712E-2</v>
      </c>
      <c r="V112" s="96">
        <v>2.6712E-2</v>
      </c>
    </row>
    <row r="113" spans="2:23" x14ac:dyDescent="0.2">
      <c r="B113" s="70"/>
      <c r="C113" s="173" t="s">
        <v>77</v>
      </c>
      <c r="D113" s="167"/>
      <c r="E113" s="167"/>
      <c r="F113" s="84">
        <v>12.672000000000001</v>
      </c>
      <c r="G113" s="84">
        <v>14.9504</v>
      </c>
      <c r="H113" s="84">
        <v>10.3584</v>
      </c>
      <c r="I113" s="84">
        <v>227.88800000000001</v>
      </c>
      <c r="J113" s="84">
        <v>166.12799999999999</v>
      </c>
      <c r="K113" s="84">
        <v>13.696</v>
      </c>
      <c r="L113" s="84">
        <v>18.527999999999999</v>
      </c>
      <c r="M113" s="84">
        <v>111.98399999999999</v>
      </c>
      <c r="N113" s="84">
        <v>1.1024</v>
      </c>
      <c r="O113" s="84">
        <v>2.368E-2</v>
      </c>
      <c r="P113" s="84">
        <v>8.6559999999999998E-2</v>
      </c>
      <c r="Q113" s="84">
        <v>0.10544000000000001</v>
      </c>
      <c r="R113" s="84">
        <v>3.9315199999999999</v>
      </c>
      <c r="S113" s="84">
        <v>1.1839999999999999</v>
      </c>
      <c r="T113" s="3"/>
      <c r="U113" s="96">
        <v>16.054407999999999</v>
      </c>
      <c r="V113" s="96">
        <v>16.054407999999999</v>
      </c>
    </row>
    <row r="114" spans="2:23" x14ac:dyDescent="0.2">
      <c r="B114" s="136" t="s">
        <v>98</v>
      </c>
      <c r="C114" s="71" t="s">
        <v>99</v>
      </c>
      <c r="D114" s="34"/>
      <c r="E114" s="79">
        <v>75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69">
        <v>35.71</v>
      </c>
      <c r="U114" s="92"/>
      <c r="V114" s="84">
        <f t="shared" ref="V114:V123" si="11">D114*U114/1000</f>
        <v>0</v>
      </c>
    </row>
    <row r="115" spans="2:23" x14ac:dyDescent="0.2">
      <c r="B115" s="136"/>
      <c r="C115" s="30" t="s">
        <v>100</v>
      </c>
      <c r="D115" s="34">
        <v>75</v>
      </c>
      <c r="E115" s="34">
        <v>75</v>
      </c>
      <c r="F115" s="69">
        <v>0</v>
      </c>
      <c r="G115" s="69">
        <v>0</v>
      </c>
      <c r="H115" s="69">
        <v>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  <c r="O115" s="69">
        <v>0</v>
      </c>
      <c r="P115" s="69">
        <v>0</v>
      </c>
      <c r="Q115" s="69">
        <v>0</v>
      </c>
      <c r="R115" s="69">
        <v>0</v>
      </c>
      <c r="S115" s="69">
        <v>0</v>
      </c>
      <c r="T115" s="69">
        <v>23.05</v>
      </c>
      <c r="U115" s="92">
        <v>0</v>
      </c>
      <c r="V115" s="84">
        <f t="shared" si="11"/>
        <v>0</v>
      </c>
    </row>
    <row r="116" spans="2:23" ht="25.5" x14ac:dyDescent="0.2">
      <c r="B116" s="136"/>
      <c r="C116" s="30" t="s">
        <v>34</v>
      </c>
      <c r="D116" s="34">
        <v>1.5</v>
      </c>
      <c r="E116" s="34">
        <v>1.5</v>
      </c>
      <c r="F116" s="69">
        <v>0</v>
      </c>
      <c r="G116" s="69">
        <f>99.9*E116/100</f>
        <v>1.4985000000000002</v>
      </c>
      <c r="H116" s="69">
        <v>0</v>
      </c>
      <c r="I116" s="69">
        <f>899*E116/100</f>
        <v>13.484999999999999</v>
      </c>
      <c r="J116" s="85">
        <v>0</v>
      </c>
      <c r="K116" s="69">
        <v>0</v>
      </c>
      <c r="L116" s="69">
        <v>0</v>
      </c>
      <c r="M116" s="85">
        <v>0</v>
      </c>
      <c r="N116" s="69">
        <v>0</v>
      </c>
      <c r="O116" s="69">
        <v>0</v>
      </c>
      <c r="P116" s="69">
        <v>0</v>
      </c>
      <c r="Q116" s="69">
        <v>0</v>
      </c>
      <c r="R116" s="69">
        <v>0</v>
      </c>
      <c r="S116" s="69">
        <v>0</v>
      </c>
      <c r="T116" s="69">
        <v>297.44</v>
      </c>
      <c r="U116" s="92">
        <v>83.43</v>
      </c>
      <c r="V116" s="84">
        <f t="shared" si="11"/>
        <v>0.12514500000000001</v>
      </c>
    </row>
    <row r="117" spans="2:23" x14ac:dyDescent="0.2">
      <c r="B117" s="136"/>
      <c r="C117" s="30" t="s">
        <v>38</v>
      </c>
      <c r="D117" s="34">
        <v>3.8</v>
      </c>
      <c r="E117" s="34">
        <v>3.8</v>
      </c>
      <c r="F117" s="69">
        <f>10.3*E117/100</f>
        <v>0.39140000000000003</v>
      </c>
      <c r="G117" s="69">
        <f>1.1*E117/100</f>
        <v>4.1799999999999997E-2</v>
      </c>
      <c r="H117" s="69">
        <f>69*E117/100</f>
        <v>2.6219999999999999</v>
      </c>
      <c r="I117" s="69">
        <f>334*E117/100</f>
        <v>12.692</v>
      </c>
      <c r="J117" s="85">
        <f>176*E117/100</f>
        <v>6.6879999999999997</v>
      </c>
      <c r="K117" s="69">
        <f>24*E117/100</f>
        <v>0.91199999999999992</v>
      </c>
      <c r="L117" s="69">
        <f>44*E117/100</f>
        <v>1.6719999999999999</v>
      </c>
      <c r="M117" s="85">
        <f>115*E117/100</f>
        <v>4.37</v>
      </c>
      <c r="N117" s="69">
        <f>2.1*E117/100</f>
        <v>7.9799999999999996E-2</v>
      </c>
      <c r="O117" s="69">
        <v>0</v>
      </c>
      <c r="P117" s="69">
        <v>0</v>
      </c>
      <c r="Q117" s="69">
        <v>0</v>
      </c>
      <c r="R117" s="69">
        <v>0</v>
      </c>
      <c r="S117" s="69">
        <v>0</v>
      </c>
      <c r="T117" s="69">
        <v>29.98</v>
      </c>
      <c r="U117" s="92">
        <v>27.31</v>
      </c>
      <c r="V117" s="84">
        <f t="shared" si="11"/>
        <v>0.103778</v>
      </c>
    </row>
    <row r="118" spans="2:23" x14ac:dyDescent="0.2">
      <c r="B118" s="136"/>
      <c r="C118" s="30" t="s">
        <v>36</v>
      </c>
      <c r="D118" s="34">
        <v>3</v>
      </c>
      <c r="E118" s="34">
        <v>3</v>
      </c>
      <c r="F118" s="34">
        <f>4.8*E118/100</f>
        <v>0.14399999999999999</v>
      </c>
      <c r="G118" s="34">
        <v>0</v>
      </c>
      <c r="H118" s="34">
        <f>19*E118/100</f>
        <v>0.56999999999999995</v>
      </c>
      <c r="I118" s="34">
        <f>102*E118/100</f>
        <v>3.06</v>
      </c>
      <c r="J118" s="34">
        <f>875*E118/100</f>
        <v>26.25</v>
      </c>
      <c r="K118" s="34">
        <f>20*E118/100</f>
        <v>0.6</v>
      </c>
      <c r="L118" s="34">
        <f>50*E118/100</f>
        <v>1.5</v>
      </c>
      <c r="M118" s="34">
        <f>68*E118/100</f>
        <v>2.04</v>
      </c>
      <c r="N118" s="34">
        <f>2.3*E118/100</f>
        <v>6.8999999999999992E-2</v>
      </c>
      <c r="O118" s="34">
        <v>0</v>
      </c>
      <c r="P118" s="34">
        <v>0</v>
      </c>
      <c r="Q118" s="34">
        <v>0</v>
      </c>
      <c r="R118" s="34">
        <v>0</v>
      </c>
      <c r="S118" s="34">
        <f>45*E118/100</f>
        <v>1.35</v>
      </c>
      <c r="T118" s="69">
        <v>11.03</v>
      </c>
      <c r="U118" s="92">
        <v>120</v>
      </c>
      <c r="V118" s="84">
        <f t="shared" si="11"/>
        <v>0.36</v>
      </c>
    </row>
    <row r="119" spans="2:23" x14ac:dyDescent="0.2">
      <c r="B119" s="136"/>
      <c r="C119" s="30" t="s">
        <v>32</v>
      </c>
      <c r="D119" s="34">
        <v>7.5</v>
      </c>
      <c r="E119" s="34">
        <v>6</v>
      </c>
      <c r="F119" s="34">
        <f>1.3*E119/100</f>
        <v>7.8000000000000014E-2</v>
      </c>
      <c r="G119" s="34">
        <v>0</v>
      </c>
      <c r="H119" s="34">
        <f>6.9*E119/100</f>
        <v>0.41400000000000003</v>
      </c>
      <c r="I119" s="34">
        <f>35*E119/100</f>
        <v>2.1</v>
      </c>
      <c r="J119" s="34">
        <f>200*E119/100</f>
        <v>12</v>
      </c>
      <c r="K119" s="34">
        <f>27*E119/100</f>
        <v>1.62</v>
      </c>
      <c r="L119" s="34">
        <f>38*E119/100</f>
        <v>2.2799999999999998</v>
      </c>
      <c r="M119" s="34">
        <f>55*E119/100</f>
        <v>3.3</v>
      </c>
      <c r="N119" s="34">
        <v>0</v>
      </c>
      <c r="O119" s="34">
        <v>0</v>
      </c>
      <c r="P119" s="34">
        <v>0</v>
      </c>
      <c r="Q119" s="34">
        <v>0</v>
      </c>
      <c r="R119" s="34">
        <f>1*E119/100</f>
        <v>0.06</v>
      </c>
      <c r="S119" s="34">
        <f>5*E119/100</f>
        <v>0.3</v>
      </c>
      <c r="T119" s="69"/>
      <c r="U119" s="92">
        <v>32.71</v>
      </c>
      <c r="V119" s="84">
        <f t="shared" si="11"/>
        <v>0.24532500000000002</v>
      </c>
    </row>
    <row r="120" spans="2:23" x14ac:dyDescent="0.2">
      <c r="B120" s="136"/>
      <c r="C120" s="30" t="s">
        <v>33</v>
      </c>
      <c r="D120" s="159">
        <v>1.8</v>
      </c>
      <c r="E120" s="160">
        <v>1.5</v>
      </c>
      <c r="F120" s="69">
        <f>1.4*E120/100</f>
        <v>2.0999999999999998E-2</v>
      </c>
      <c r="G120" s="157">
        <v>0</v>
      </c>
      <c r="H120" s="157">
        <f>8.2*E120/100</f>
        <v>0.12299999999999998</v>
      </c>
      <c r="I120" s="157">
        <f>41*E120/100</f>
        <v>0.61499999999999999</v>
      </c>
      <c r="J120" s="158">
        <f>175*E120/100</f>
        <v>2.625</v>
      </c>
      <c r="K120" s="157">
        <f>31*E120/100</f>
        <v>0.46500000000000002</v>
      </c>
      <c r="L120" s="157">
        <f>14*E120/100</f>
        <v>0.21</v>
      </c>
      <c r="M120" s="158">
        <f>58*E120/100</f>
        <v>0.87</v>
      </c>
      <c r="N120" s="157">
        <v>0</v>
      </c>
      <c r="O120" s="157">
        <v>0</v>
      </c>
      <c r="P120" s="157">
        <v>0</v>
      </c>
      <c r="Q120" s="157">
        <v>0</v>
      </c>
      <c r="R120" s="157">
        <v>0</v>
      </c>
      <c r="S120" s="157">
        <f>10*E120/100</f>
        <v>0.15</v>
      </c>
      <c r="T120" s="69"/>
      <c r="U120" s="92">
        <v>29.62</v>
      </c>
      <c r="V120" s="84">
        <f t="shared" si="11"/>
        <v>5.3316000000000002E-2</v>
      </c>
    </row>
    <row r="121" spans="2:23" s="26" customFormat="1" x14ac:dyDescent="0.2">
      <c r="B121" s="136"/>
      <c r="C121" s="30" t="s">
        <v>30</v>
      </c>
      <c r="D121" s="69">
        <v>1.1000000000000001</v>
      </c>
      <c r="E121" s="69">
        <v>1.1000000000000001</v>
      </c>
      <c r="F121" s="84">
        <v>0</v>
      </c>
      <c r="G121" s="84">
        <v>0</v>
      </c>
      <c r="H121" s="84">
        <f>99.8*E121/100</f>
        <v>1.0978000000000001</v>
      </c>
      <c r="I121" s="84">
        <f>379*E121/100</f>
        <v>4.1690000000000005</v>
      </c>
      <c r="J121" s="84">
        <f>3*E121/100</f>
        <v>3.3000000000000002E-2</v>
      </c>
      <c r="K121" s="84">
        <f>2*E121/100</f>
        <v>2.2000000000000002E-2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69">
        <v>0</v>
      </c>
      <c r="U121" s="92">
        <v>50.97</v>
      </c>
      <c r="V121" s="84">
        <f t="shared" si="11"/>
        <v>5.6066999999999999E-2</v>
      </c>
    </row>
    <row r="122" spans="2:23" x14ac:dyDescent="0.2">
      <c r="B122" s="136"/>
      <c r="C122" s="30" t="s">
        <v>46</v>
      </c>
      <c r="D122" s="69">
        <v>0.75</v>
      </c>
      <c r="E122" s="69">
        <v>0.75</v>
      </c>
      <c r="F122" s="69">
        <v>0</v>
      </c>
      <c r="G122" s="69">
        <v>0</v>
      </c>
      <c r="H122" s="69">
        <v>0</v>
      </c>
      <c r="I122" s="69">
        <v>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0</v>
      </c>
      <c r="Q122" s="84">
        <v>0</v>
      </c>
      <c r="R122" s="84">
        <v>0</v>
      </c>
      <c r="S122" s="84">
        <v>0</v>
      </c>
      <c r="T122" s="69">
        <v>71.02</v>
      </c>
      <c r="U122" s="92">
        <v>11.63</v>
      </c>
      <c r="V122" s="84">
        <f t="shared" si="11"/>
        <v>8.7224999999999994E-3</v>
      </c>
    </row>
    <row r="123" spans="2:23" x14ac:dyDescent="0.2">
      <c r="B123" s="136"/>
      <c r="C123" s="76" t="s">
        <v>39</v>
      </c>
      <c r="D123" s="69">
        <v>1.4999999999999999E-2</v>
      </c>
      <c r="E123" s="69">
        <v>1.4999999999999999E-2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69">
        <v>0</v>
      </c>
      <c r="O123" s="69">
        <v>0</v>
      </c>
      <c r="P123" s="69">
        <v>0</v>
      </c>
      <c r="Q123" s="69">
        <v>0</v>
      </c>
      <c r="R123" s="69">
        <v>0</v>
      </c>
      <c r="S123" s="69">
        <v>0</v>
      </c>
      <c r="T123" s="69">
        <v>24.11</v>
      </c>
      <c r="U123" s="92">
        <v>300</v>
      </c>
      <c r="V123" s="84">
        <f t="shared" si="11"/>
        <v>4.4999999999999997E-3</v>
      </c>
    </row>
    <row r="124" spans="2:23" x14ac:dyDescent="0.2">
      <c r="B124" s="136"/>
      <c r="C124" s="71" t="s">
        <v>77</v>
      </c>
      <c r="D124" s="69"/>
      <c r="E124" s="69"/>
      <c r="F124" s="3">
        <f>SUM(F115:F123)+F112+F113</f>
        <v>13.3064</v>
      </c>
      <c r="G124" s="3">
        <f t="shared" ref="G124:S124" si="12">SUM(G115:G123)+G112+G113</f>
        <v>16.4907</v>
      </c>
      <c r="H124" s="3">
        <f t="shared" si="12"/>
        <v>15.185199999999998</v>
      </c>
      <c r="I124" s="3">
        <f t="shared" si="12"/>
        <v>264.00900000000001</v>
      </c>
      <c r="J124" s="3">
        <f t="shared" si="12"/>
        <v>213.72399999999999</v>
      </c>
      <c r="K124" s="3">
        <f t="shared" si="12"/>
        <v>17.314999999999998</v>
      </c>
      <c r="L124" s="3">
        <f t="shared" si="12"/>
        <v>24.189999999999998</v>
      </c>
      <c r="M124" s="3">
        <f t="shared" si="12"/>
        <v>122.56399999999999</v>
      </c>
      <c r="N124" s="3">
        <f t="shared" si="12"/>
        <v>1.2512000000000001</v>
      </c>
      <c r="O124" s="3">
        <f t="shared" si="12"/>
        <v>2.368E-2</v>
      </c>
      <c r="P124" s="3">
        <f t="shared" si="12"/>
        <v>8.6559999999999998E-2</v>
      </c>
      <c r="Q124" s="3">
        <f t="shared" si="12"/>
        <v>0.10544000000000001</v>
      </c>
      <c r="R124" s="3">
        <f t="shared" si="12"/>
        <v>3.99152</v>
      </c>
      <c r="S124" s="3">
        <f t="shared" si="12"/>
        <v>2.984</v>
      </c>
      <c r="T124" s="69">
        <v>160.44999999999999</v>
      </c>
      <c r="U124" s="92"/>
      <c r="V124" s="21">
        <f>V112+V113+V116+V117+V118+V119+V120+V121+V122+V123</f>
        <v>17.037973499999996</v>
      </c>
    </row>
    <row r="125" spans="2:23" x14ac:dyDescent="0.2">
      <c r="B125" s="69" t="s">
        <v>57</v>
      </c>
      <c r="C125" s="6" t="s">
        <v>58</v>
      </c>
      <c r="D125" s="69"/>
      <c r="E125" s="3">
        <v>150</v>
      </c>
      <c r="F125" s="3"/>
      <c r="G125" s="3"/>
      <c r="H125" s="3"/>
      <c r="I125" s="3"/>
      <c r="J125" s="3"/>
      <c r="K125" s="32"/>
      <c r="L125" s="7"/>
      <c r="M125" s="7"/>
      <c r="N125" s="3"/>
      <c r="O125" s="3"/>
      <c r="P125" s="3"/>
      <c r="Q125" s="3"/>
      <c r="R125" s="3"/>
      <c r="S125" s="32"/>
      <c r="T125" s="69"/>
      <c r="U125" s="96"/>
      <c r="V125" s="84"/>
    </row>
    <row r="126" spans="2:23" x14ac:dyDescent="0.2">
      <c r="B126" s="69"/>
      <c r="C126" s="156" t="s">
        <v>31</v>
      </c>
      <c r="D126" s="84">
        <v>170.8</v>
      </c>
      <c r="E126" s="84">
        <v>128.30000000000001</v>
      </c>
      <c r="F126" s="69">
        <f>2*E126/100</f>
        <v>2.5660000000000003</v>
      </c>
      <c r="G126" s="69">
        <f>0.4*E126/100</f>
        <v>0.5132000000000001</v>
      </c>
      <c r="H126" s="69">
        <f>16.3*E126/100</f>
        <v>20.912900000000004</v>
      </c>
      <c r="I126" s="69">
        <f>77*E126/100</f>
        <v>98.790999999999997</v>
      </c>
      <c r="J126" s="69">
        <f>568*E126/100</f>
        <v>728.74400000000014</v>
      </c>
      <c r="K126" s="69">
        <f>10*E126/100</f>
        <v>12.83</v>
      </c>
      <c r="L126" s="69">
        <f>23*E126/100</f>
        <v>29.509</v>
      </c>
      <c r="M126" s="69">
        <f>58*E126/100</f>
        <v>74.414000000000001</v>
      </c>
      <c r="N126" s="69">
        <f>0.9*E126/100</f>
        <v>1.1547000000000001</v>
      </c>
      <c r="O126" s="69">
        <v>0</v>
      </c>
      <c r="P126" s="69">
        <f>0.12*E126/100</f>
        <v>0.15396000000000001</v>
      </c>
      <c r="Q126" s="69">
        <f>0.07*E126/100</f>
        <v>8.9810000000000015E-2</v>
      </c>
      <c r="R126" s="69">
        <f>1.3*E126/100</f>
        <v>1.6679000000000002</v>
      </c>
      <c r="S126" s="69">
        <f>20*E126/100</f>
        <v>25.66</v>
      </c>
      <c r="T126" s="69"/>
      <c r="U126" s="96">
        <v>36.76</v>
      </c>
      <c r="V126" s="84">
        <f>D126*U126/1000</f>
        <v>6.2786080000000002</v>
      </c>
    </row>
    <row r="127" spans="2:23" x14ac:dyDescent="0.2">
      <c r="B127" s="69"/>
      <c r="C127" s="156" t="s">
        <v>37</v>
      </c>
      <c r="D127" s="84">
        <v>5</v>
      </c>
      <c r="E127" s="84">
        <v>5</v>
      </c>
      <c r="F127" s="69">
        <f>0.8*E127/100</f>
        <v>0.04</v>
      </c>
      <c r="G127" s="69">
        <f>72.5*E127/100</f>
        <v>3.625</v>
      </c>
      <c r="H127" s="69">
        <f>1.3*E127/100</f>
        <v>6.5000000000000002E-2</v>
      </c>
      <c r="I127" s="69">
        <f>661*E127/100</f>
        <v>33.049999999999997</v>
      </c>
      <c r="J127" s="86">
        <f>23*E127/100</f>
        <v>1.1499999999999999</v>
      </c>
      <c r="K127" s="69">
        <f>22*E127/100</f>
        <v>1.1000000000000001</v>
      </c>
      <c r="L127" s="69">
        <f>3*E127/100</f>
        <v>0.15</v>
      </c>
      <c r="M127" s="85">
        <f>19*E127/100</f>
        <v>0.95</v>
      </c>
      <c r="N127" s="69">
        <f>0.2*E127/100</f>
        <v>0.01</v>
      </c>
      <c r="O127" s="69">
        <f>0.5*E127/100</f>
        <v>2.5000000000000001E-2</v>
      </c>
      <c r="P127" s="69">
        <f>0</f>
        <v>0</v>
      </c>
      <c r="Q127" s="96">
        <f>0.01*E127/1000</f>
        <v>5.0000000000000002E-5</v>
      </c>
      <c r="R127" s="69">
        <f>0.1*E127/100</f>
        <v>5.0000000000000001E-3</v>
      </c>
      <c r="S127" s="69">
        <f>0</f>
        <v>0</v>
      </c>
      <c r="T127" s="69"/>
      <c r="U127" s="96">
        <v>337.78</v>
      </c>
      <c r="V127" s="84">
        <f>D127*U127/1000</f>
        <v>1.6888999999999998</v>
      </c>
      <c r="W127" s="81"/>
    </row>
    <row r="128" spans="2:23" x14ac:dyDescent="0.2">
      <c r="B128" s="69"/>
      <c r="C128" s="156" t="s">
        <v>29</v>
      </c>
      <c r="D128" s="84">
        <v>23.6</v>
      </c>
      <c r="E128" s="84">
        <v>22.5</v>
      </c>
      <c r="F128" s="34">
        <f>2.8*D128/100</f>
        <v>0.66079999999999994</v>
      </c>
      <c r="G128" s="34">
        <f>3.2*D128/100</f>
        <v>0.75520000000000009</v>
      </c>
      <c r="H128" s="34">
        <f>4.7*D128/100</f>
        <v>1.1092000000000002</v>
      </c>
      <c r="I128" s="34">
        <f>5.8*D128/100</f>
        <v>1.3688</v>
      </c>
      <c r="J128" s="34">
        <f>146*D128/100</f>
        <v>34.456000000000003</v>
      </c>
      <c r="K128" s="34">
        <f>120*D128/100</f>
        <v>28.32</v>
      </c>
      <c r="L128" s="34">
        <f>114*D128/100</f>
        <v>26.904</v>
      </c>
      <c r="M128" s="34">
        <f>0.1*D128/100</f>
        <v>2.3600000000000003E-2</v>
      </c>
      <c r="N128" s="34">
        <f>0.1*D128/100</f>
        <v>2.3600000000000003E-2</v>
      </c>
      <c r="O128" s="34">
        <f>0.02*D128/100</f>
        <v>4.7200000000000002E-3</v>
      </c>
      <c r="P128" s="34">
        <f>0.04*D128/100</f>
        <v>9.4400000000000005E-3</v>
      </c>
      <c r="Q128" s="34">
        <f>0.15*D128/100</f>
        <v>3.5400000000000001E-2</v>
      </c>
      <c r="R128" s="34">
        <f>0.1*D128/100</f>
        <v>2.3600000000000003E-2</v>
      </c>
      <c r="S128" s="34">
        <f>1.3*D128/100</f>
        <v>0.30680000000000002</v>
      </c>
      <c r="T128" s="69"/>
      <c r="U128" s="96">
        <v>41.53</v>
      </c>
      <c r="V128" s="84">
        <f>D128*U128/1000</f>
        <v>0.98010800000000009</v>
      </c>
      <c r="W128" s="81"/>
    </row>
    <row r="129" spans="2:23" x14ac:dyDescent="0.2">
      <c r="B129" s="69"/>
      <c r="C129" s="156" t="s">
        <v>46</v>
      </c>
      <c r="D129" s="84">
        <v>1.8</v>
      </c>
      <c r="E129" s="84">
        <v>1.8</v>
      </c>
      <c r="F129" s="69">
        <v>0</v>
      </c>
      <c r="G129" s="69">
        <v>0</v>
      </c>
      <c r="H129" s="69">
        <v>0</v>
      </c>
      <c r="I129" s="69">
        <v>0</v>
      </c>
      <c r="J129" s="69">
        <v>0</v>
      </c>
      <c r="K129" s="69">
        <v>0</v>
      </c>
      <c r="L129" s="69">
        <v>0</v>
      </c>
      <c r="M129" s="69">
        <v>0</v>
      </c>
      <c r="N129" s="69">
        <v>0</v>
      </c>
      <c r="O129" s="69">
        <v>0</v>
      </c>
      <c r="P129" s="69">
        <v>0</v>
      </c>
      <c r="Q129" s="69">
        <v>0</v>
      </c>
      <c r="R129" s="69">
        <v>0</v>
      </c>
      <c r="S129" s="69">
        <v>0</v>
      </c>
      <c r="T129" s="69"/>
      <c r="U129" s="96">
        <v>11.63</v>
      </c>
      <c r="V129" s="84">
        <f>D129*U129/1000</f>
        <v>2.0934000000000001E-2</v>
      </c>
      <c r="W129" s="81"/>
    </row>
    <row r="130" spans="2:23" x14ac:dyDescent="0.2">
      <c r="B130" s="69"/>
      <c r="C130" s="39" t="s">
        <v>47</v>
      </c>
      <c r="D130" s="3"/>
      <c r="E130" s="3"/>
      <c r="F130" s="3">
        <f>SUM(F126:F129)</f>
        <v>3.2668000000000004</v>
      </c>
      <c r="G130" s="3">
        <f>SUM(G126:G129)</f>
        <v>4.8934000000000006</v>
      </c>
      <c r="H130" s="3">
        <f t="shared" ref="H130:S130" si="13">SUM(H126:H129)</f>
        <v>22.087100000000007</v>
      </c>
      <c r="I130" s="3">
        <f t="shared" si="13"/>
        <v>133.2098</v>
      </c>
      <c r="J130" s="3">
        <f t="shared" si="13"/>
        <v>764.35000000000014</v>
      </c>
      <c r="K130" s="3">
        <f t="shared" si="13"/>
        <v>42.25</v>
      </c>
      <c r="L130" s="3">
        <f t="shared" si="13"/>
        <v>56.563000000000002</v>
      </c>
      <c r="M130" s="3">
        <f t="shared" si="13"/>
        <v>75.387600000000006</v>
      </c>
      <c r="N130" s="3">
        <f t="shared" si="13"/>
        <v>1.1883000000000001</v>
      </c>
      <c r="O130" s="3">
        <f t="shared" si="13"/>
        <v>2.9720000000000003E-2</v>
      </c>
      <c r="P130" s="3">
        <f t="shared" si="13"/>
        <v>0.16340000000000002</v>
      </c>
      <c r="Q130" s="3">
        <f t="shared" si="13"/>
        <v>0.12526000000000001</v>
      </c>
      <c r="R130" s="3">
        <f t="shared" si="13"/>
        <v>1.6965000000000001</v>
      </c>
      <c r="S130" s="3">
        <f t="shared" si="13"/>
        <v>25.966799999999999</v>
      </c>
      <c r="T130" s="69"/>
      <c r="U130" s="96"/>
      <c r="V130" s="21">
        <f>SUM(V126:V129)</f>
        <v>8.9685500000000005</v>
      </c>
    </row>
    <row r="131" spans="2:23" x14ac:dyDescent="0.2">
      <c r="B131" s="69" t="s">
        <v>73</v>
      </c>
      <c r="C131" s="5" t="s">
        <v>74</v>
      </c>
      <c r="D131" s="313" t="s">
        <v>75</v>
      </c>
      <c r="E131" s="31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50"/>
      <c r="S131" s="3"/>
      <c r="T131" s="69"/>
      <c r="U131" s="96"/>
      <c r="V131" s="84"/>
    </row>
    <row r="132" spans="2:23" x14ac:dyDescent="0.2">
      <c r="B132" s="69"/>
      <c r="C132" s="65" t="s">
        <v>40</v>
      </c>
      <c r="D132" s="159">
        <v>50</v>
      </c>
      <c r="E132" s="159">
        <v>50</v>
      </c>
      <c r="F132" s="69">
        <v>0.1</v>
      </c>
      <c r="G132" s="69">
        <v>0</v>
      </c>
      <c r="H132" s="69">
        <v>0</v>
      </c>
      <c r="I132" s="69">
        <v>0.8</v>
      </c>
      <c r="J132" s="85">
        <v>12.4</v>
      </c>
      <c r="K132" s="69">
        <v>2.5</v>
      </c>
      <c r="L132" s="69">
        <v>2.2000000000000002</v>
      </c>
      <c r="M132" s="85">
        <v>4.12</v>
      </c>
      <c r="N132" s="69">
        <v>0.4</v>
      </c>
      <c r="O132" s="69">
        <v>0</v>
      </c>
      <c r="P132" s="69">
        <v>0</v>
      </c>
      <c r="Q132" s="69">
        <v>0</v>
      </c>
      <c r="R132" s="70">
        <v>0</v>
      </c>
      <c r="S132" s="69">
        <v>0</v>
      </c>
      <c r="T132" s="69"/>
      <c r="U132" s="96">
        <v>539.16999999999996</v>
      </c>
      <c r="V132" s="84">
        <f>1*U132/1000</f>
        <v>0.53916999999999993</v>
      </c>
    </row>
    <row r="133" spans="2:23" x14ac:dyDescent="0.2">
      <c r="B133" s="69"/>
      <c r="C133" s="65" t="s">
        <v>30</v>
      </c>
      <c r="D133" s="159">
        <v>15</v>
      </c>
      <c r="E133" s="159">
        <v>15</v>
      </c>
      <c r="F133" s="69">
        <v>0</v>
      </c>
      <c r="G133" s="69">
        <v>0</v>
      </c>
      <c r="H133" s="69">
        <v>15</v>
      </c>
      <c r="I133" s="69">
        <v>56.9</v>
      </c>
      <c r="J133" s="85">
        <v>0.5</v>
      </c>
      <c r="K133" s="69">
        <v>0.4</v>
      </c>
      <c r="L133" s="69">
        <v>0</v>
      </c>
      <c r="M133" s="85">
        <v>0</v>
      </c>
      <c r="N133" s="69">
        <v>0</v>
      </c>
      <c r="O133" s="69">
        <v>0</v>
      </c>
      <c r="P133" s="69">
        <v>0</v>
      </c>
      <c r="Q133" s="69">
        <v>0</v>
      </c>
      <c r="R133" s="70">
        <v>0</v>
      </c>
      <c r="S133" s="69">
        <v>0</v>
      </c>
      <c r="T133" s="69"/>
      <c r="U133" s="96">
        <v>50.97</v>
      </c>
      <c r="V133" s="84">
        <f>D133*U133/1000</f>
        <v>0.76454999999999995</v>
      </c>
    </row>
    <row r="134" spans="2:23" x14ac:dyDescent="0.2">
      <c r="B134" s="69"/>
      <c r="C134" s="65" t="s">
        <v>35</v>
      </c>
      <c r="D134" s="159">
        <v>150</v>
      </c>
      <c r="E134" s="159">
        <v>150</v>
      </c>
      <c r="F134" s="69">
        <v>0</v>
      </c>
      <c r="G134" s="69">
        <v>0</v>
      </c>
      <c r="H134" s="69">
        <v>0</v>
      </c>
      <c r="I134" s="69">
        <v>0</v>
      </c>
      <c r="J134" s="69">
        <v>0</v>
      </c>
      <c r="K134" s="69">
        <v>0</v>
      </c>
      <c r="L134" s="69">
        <v>0</v>
      </c>
      <c r="M134" s="69">
        <v>0</v>
      </c>
      <c r="N134" s="69">
        <v>0</v>
      </c>
      <c r="O134" s="69">
        <v>0</v>
      </c>
      <c r="P134" s="69">
        <v>0</v>
      </c>
      <c r="Q134" s="69">
        <v>0</v>
      </c>
      <c r="R134" s="70">
        <v>0</v>
      </c>
      <c r="S134" s="69">
        <v>0</v>
      </c>
      <c r="T134" s="69"/>
      <c r="U134" s="96">
        <v>0</v>
      </c>
      <c r="V134" s="84">
        <f>D134*U134/1000</f>
        <v>0</v>
      </c>
    </row>
    <row r="135" spans="2:23" x14ac:dyDescent="0.2">
      <c r="B135" s="69"/>
      <c r="C135" s="39" t="s">
        <v>47</v>
      </c>
      <c r="D135" s="196"/>
      <c r="E135" s="196"/>
      <c r="F135" s="3">
        <v>0.1</v>
      </c>
      <c r="G135" s="3">
        <v>0</v>
      </c>
      <c r="H135" s="3">
        <v>15</v>
      </c>
      <c r="I135" s="3">
        <v>57.7</v>
      </c>
      <c r="J135" s="3">
        <v>12.9</v>
      </c>
      <c r="K135" s="3">
        <v>2.9</v>
      </c>
      <c r="L135" s="3">
        <v>2.2000000000000002</v>
      </c>
      <c r="M135" s="3">
        <v>4.12</v>
      </c>
      <c r="N135" s="3">
        <v>0.4</v>
      </c>
      <c r="O135" s="3">
        <v>0</v>
      </c>
      <c r="P135" s="3">
        <v>0</v>
      </c>
      <c r="Q135" s="3">
        <v>0</v>
      </c>
      <c r="R135" s="3">
        <v>0</v>
      </c>
      <c r="S135" s="26">
        <v>0</v>
      </c>
      <c r="T135" s="3"/>
      <c r="U135" s="32"/>
      <c r="V135" s="21">
        <f>SUM(V132:V134)</f>
        <v>1.3037199999999998</v>
      </c>
    </row>
    <row r="136" spans="2:23" ht="25.5" x14ac:dyDescent="0.2">
      <c r="B136" s="69" t="s">
        <v>24</v>
      </c>
      <c r="C136" s="5" t="s">
        <v>105</v>
      </c>
      <c r="D136" s="3">
        <v>30</v>
      </c>
      <c r="E136" s="3">
        <v>30</v>
      </c>
      <c r="F136" s="69">
        <f>7.7*E136/100</f>
        <v>2.31</v>
      </c>
      <c r="G136" s="69">
        <f>3*E136/100</f>
        <v>0.9</v>
      </c>
      <c r="H136" s="69">
        <f>49.8*E136/100</f>
        <v>14.94</v>
      </c>
      <c r="I136" s="69">
        <f>262*E136/100</f>
        <v>78.599999999999994</v>
      </c>
      <c r="J136" s="85">
        <f>127*E136/100</f>
        <v>38.1</v>
      </c>
      <c r="K136" s="69">
        <f>26*E136/100</f>
        <v>7.8</v>
      </c>
      <c r="L136" s="69">
        <f>35*E136/100</f>
        <v>10.5</v>
      </c>
      <c r="M136" s="85">
        <f>83*E136/100</f>
        <v>24.9</v>
      </c>
      <c r="N136" s="69">
        <f>1.6*E136/100</f>
        <v>0.48</v>
      </c>
      <c r="O136" s="69">
        <f>0</f>
        <v>0</v>
      </c>
      <c r="P136" s="69">
        <f>0.16*E136/100</f>
        <v>4.8000000000000001E-2</v>
      </c>
      <c r="Q136" s="69">
        <f>0.08*E136/100</f>
        <v>2.4E-2</v>
      </c>
      <c r="R136" s="69">
        <f>1.54*E136/100</f>
        <v>0.46200000000000002</v>
      </c>
      <c r="S136" s="69">
        <v>0</v>
      </c>
      <c r="T136" s="3"/>
      <c r="U136" s="32">
        <v>31.99</v>
      </c>
      <c r="V136" s="84">
        <f>E136*U136/1000</f>
        <v>0.95969999999999989</v>
      </c>
    </row>
    <row r="137" spans="2:23" x14ac:dyDescent="0.2">
      <c r="B137" s="169"/>
      <c r="C137" s="3" t="s">
        <v>164</v>
      </c>
      <c r="D137" s="159"/>
      <c r="E137" s="159"/>
      <c r="F137" s="3">
        <v>30.317350000000001</v>
      </c>
      <c r="G137" s="3">
        <v>29.9864</v>
      </c>
      <c r="H137" s="3">
        <v>105.1669</v>
      </c>
      <c r="I137" s="3">
        <v>857.90599999999995</v>
      </c>
      <c r="J137" s="3">
        <v>915.04</v>
      </c>
      <c r="K137" s="3">
        <v>65.564999999999998</v>
      </c>
      <c r="L137" s="3">
        <v>83.597999999999999</v>
      </c>
      <c r="M137" s="3">
        <v>316.44049999999999</v>
      </c>
      <c r="N137" s="3">
        <v>8.1491500000000006</v>
      </c>
      <c r="O137" s="3">
        <v>0.11069</v>
      </c>
      <c r="P137" s="3">
        <v>0.53471500000000005</v>
      </c>
      <c r="Q137" s="3">
        <v>0.35713</v>
      </c>
      <c r="R137" s="3">
        <v>10.23165</v>
      </c>
      <c r="S137" s="3">
        <v>21.312000000000001</v>
      </c>
      <c r="T137" s="26"/>
      <c r="U137" s="165">
        <v>26.3</v>
      </c>
      <c r="V137" s="21">
        <v>26.3</v>
      </c>
    </row>
    <row r="138" spans="2:23" x14ac:dyDescent="0.2">
      <c r="B138" s="69"/>
      <c r="C138" s="196" t="s">
        <v>59</v>
      </c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70"/>
      <c r="S138" s="69"/>
      <c r="T138" s="69"/>
      <c r="U138" s="96"/>
      <c r="V138" s="84"/>
    </row>
    <row r="139" spans="2:23" x14ac:dyDescent="0.2">
      <c r="B139" s="69"/>
      <c r="C139" s="196" t="s">
        <v>163</v>
      </c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70"/>
      <c r="S139" s="69"/>
      <c r="T139" s="69"/>
      <c r="U139" s="96"/>
      <c r="V139" s="84"/>
    </row>
    <row r="140" spans="2:23" ht="25.5" x14ac:dyDescent="0.2">
      <c r="B140" s="69" t="s">
        <v>140</v>
      </c>
      <c r="C140" s="5" t="s">
        <v>139</v>
      </c>
      <c r="D140" s="69"/>
      <c r="E140" s="3">
        <v>140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26"/>
      <c r="U140" s="32"/>
      <c r="V140" s="96">
        <v>0.32860800000000001</v>
      </c>
      <c r="W140" s="81"/>
    </row>
    <row r="141" spans="2:23" x14ac:dyDescent="0.2">
      <c r="B141" s="69"/>
      <c r="C141" s="78" t="s">
        <v>141</v>
      </c>
      <c r="D141" s="69">
        <v>2</v>
      </c>
      <c r="E141" s="69">
        <v>80</v>
      </c>
      <c r="F141" s="36">
        <v>14.57</v>
      </c>
      <c r="G141" s="36">
        <v>25.05</v>
      </c>
      <c r="H141" s="36">
        <v>2.1280000000000001</v>
      </c>
      <c r="I141" s="36">
        <v>292.52</v>
      </c>
      <c r="J141" s="37">
        <v>10</v>
      </c>
      <c r="K141" s="36">
        <v>9</v>
      </c>
      <c r="L141" s="36">
        <v>3.5</v>
      </c>
      <c r="M141" s="36">
        <v>0.8</v>
      </c>
      <c r="N141" s="36">
        <v>12.3</v>
      </c>
      <c r="O141" s="36">
        <v>0.16</v>
      </c>
      <c r="P141" s="36">
        <v>0</v>
      </c>
      <c r="Q141" s="36">
        <v>0</v>
      </c>
      <c r="R141" s="36">
        <v>0</v>
      </c>
      <c r="S141" s="36">
        <v>0</v>
      </c>
      <c r="T141" s="26"/>
      <c r="U141" s="96">
        <v>5.5</v>
      </c>
      <c r="V141" s="96">
        <v>11</v>
      </c>
      <c r="W141" s="81"/>
    </row>
    <row r="142" spans="2:23" x14ac:dyDescent="0.2">
      <c r="B142" s="69"/>
      <c r="C142" s="65" t="s">
        <v>142</v>
      </c>
      <c r="D142" s="69">
        <v>30</v>
      </c>
      <c r="E142" s="69">
        <v>30</v>
      </c>
      <c r="F142" s="69">
        <v>1.4</v>
      </c>
      <c r="G142" s="69">
        <v>15.1</v>
      </c>
      <c r="H142" s="69">
        <v>2.35</v>
      </c>
      <c r="I142" s="69">
        <v>29</v>
      </c>
      <c r="J142" s="86">
        <v>73</v>
      </c>
      <c r="K142" s="69">
        <v>60</v>
      </c>
      <c r="L142" s="69">
        <v>7</v>
      </c>
      <c r="M142" s="85">
        <v>45</v>
      </c>
      <c r="N142" s="69">
        <v>0.05</v>
      </c>
      <c r="O142" s="69">
        <v>0.01</v>
      </c>
      <c r="P142" s="69">
        <v>0.02</v>
      </c>
      <c r="Q142" s="96">
        <v>0.35</v>
      </c>
      <c r="R142" s="69">
        <v>0.05</v>
      </c>
      <c r="S142" s="69">
        <v>0.8</v>
      </c>
      <c r="T142" s="26"/>
      <c r="U142" s="96">
        <v>55</v>
      </c>
      <c r="V142" s="96">
        <v>1.8149999999999999</v>
      </c>
    </row>
    <row r="143" spans="2:23" x14ac:dyDescent="0.2">
      <c r="B143" s="69"/>
      <c r="C143" s="65" t="s">
        <v>143</v>
      </c>
      <c r="D143" s="69">
        <v>16</v>
      </c>
      <c r="E143" s="69">
        <v>16</v>
      </c>
      <c r="F143" s="69">
        <v>0</v>
      </c>
      <c r="G143" s="69">
        <v>6.89</v>
      </c>
      <c r="H143" s="69">
        <v>0.12</v>
      </c>
      <c r="I143" s="69">
        <v>62.8</v>
      </c>
      <c r="J143" s="86">
        <v>2.19</v>
      </c>
      <c r="K143" s="69">
        <v>2.09</v>
      </c>
      <c r="L143" s="69">
        <v>0.28999999999999998</v>
      </c>
      <c r="M143" s="85">
        <v>1.81</v>
      </c>
      <c r="N143" s="69">
        <v>0</v>
      </c>
      <c r="O143" s="69">
        <v>0</v>
      </c>
      <c r="P143" s="69">
        <v>0</v>
      </c>
      <c r="Q143" s="96">
        <v>0</v>
      </c>
      <c r="R143" s="69">
        <v>0</v>
      </c>
      <c r="S143" s="69">
        <v>0</v>
      </c>
      <c r="T143" s="26"/>
      <c r="U143" s="96">
        <v>337.8</v>
      </c>
      <c r="V143" s="96">
        <v>5.4047999999999998</v>
      </c>
    </row>
    <row r="144" spans="2:23" x14ac:dyDescent="0.2">
      <c r="B144" s="69"/>
      <c r="C144" s="65" t="s">
        <v>144</v>
      </c>
      <c r="D144" s="69">
        <v>33</v>
      </c>
      <c r="E144" s="69">
        <v>32</v>
      </c>
      <c r="F144" s="69">
        <v>7.7</v>
      </c>
      <c r="G144" s="69">
        <v>16.73</v>
      </c>
      <c r="H144" s="69">
        <v>0</v>
      </c>
      <c r="I144" s="69">
        <v>182.7</v>
      </c>
      <c r="J144" s="86">
        <v>154</v>
      </c>
      <c r="K144" s="69">
        <v>24.5</v>
      </c>
      <c r="L144" s="69">
        <v>14</v>
      </c>
      <c r="M144" s="85">
        <v>111.3</v>
      </c>
      <c r="N144" s="69">
        <v>1.26</v>
      </c>
      <c r="O144" s="69">
        <v>0</v>
      </c>
      <c r="P144" s="69">
        <v>0</v>
      </c>
      <c r="Q144" s="96">
        <v>0</v>
      </c>
      <c r="R144" s="69">
        <v>0</v>
      </c>
      <c r="S144" s="69">
        <v>0</v>
      </c>
      <c r="T144" s="26"/>
      <c r="U144" s="96">
        <v>260</v>
      </c>
      <c r="V144" s="96">
        <v>8.58</v>
      </c>
    </row>
    <row r="145" spans="2:22" ht="15" customHeight="1" x14ac:dyDescent="0.2">
      <c r="B145" s="69"/>
      <c r="C145" s="65" t="s">
        <v>145</v>
      </c>
      <c r="D145" s="69">
        <v>2</v>
      </c>
      <c r="E145" s="69">
        <v>2</v>
      </c>
      <c r="F145" s="69">
        <v>0</v>
      </c>
      <c r="G145" s="69">
        <v>0</v>
      </c>
      <c r="H145" s="69">
        <v>0</v>
      </c>
      <c r="I145" s="69">
        <v>0</v>
      </c>
      <c r="J145" s="86">
        <v>0</v>
      </c>
      <c r="K145" s="69">
        <v>0</v>
      </c>
      <c r="L145" s="69">
        <v>0</v>
      </c>
      <c r="M145" s="85">
        <v>0</v>
      </c>
      <c r="N145" s="69">
        <v>0</v>
      </c>
      <c r="O145" s="69">
        <v>0</v>
      </c>
      <c r="P145" s="69">
        <v>0</v>
      </c>
      <c r="Q145" s="96">
        <v>0</v>
      </c>
      <c r="R145" s="69">
        <v>0</v>
      </c>
      <c r="S145" s="69">
        <v>0</v>
      </c>
      <c r="T145" s="26"/>
      <c r="U145" s="96">
        <v>11.63</v>
      </c>
      <c r="V145" s="96">
        <v>0.02</v>
      </c>
    </row>
    <row r="146" spans="2:22" ht="24" customHeight="1" x14ac:dyDescent="0.2">
      <c r="B146" s="69" t="s">
        <v>148</v>
      </c>
      <c r="C146" s="5" t="s">
        <v>147</v>
      </c>
      <c r="D146" s="69"/>
      <c r="E146" s="27">
        <v>50</v>
      </c>
      <c r="F146" s="69"/>
      <c r="G146" s="69"/>
      <c r="H146" s="69"/>
      <c r="I146" s="69"/>
      <c r="J146" s="86"/>
      <c r="K146" s="69"/>
      <c r="L146" s="69"/>
      <c r="M146" s="85"/>
      <c r="N146" s="69"/>
      <c r="O146" s="69"/>
      <c r="P146" s="69"/>
      <c r="Q146" s="96"/>
      <c r="R146" s="69"/>
      <c r="S146" s="69"/>
      <c r="T146" s="26"/>
      <c r="U146" s="96"/>
      <c r="V146" s="96"/>
    </row>
    <row r="147" spans="2:22" hidden="1" x14ac:dyDescent="0.2">
      <c r="B147" s="69"/>
      <c r="C147" s="39" t="s">
        <v>47</v>
      </c>
      <c r="D147" s="69"/>
      <c r="E147" s="69"/>
      <c r="F147" s="3">
        <f>F141+F142</f>
        <v>15.97</v>
      </c>
      <c r="G147" s="3">
        <f t="shared" ref="G147:S147" si="14">G141+G142</f>
        <v>40.15</v>
      </c>
      <c r="H147" s="3">
        <f t="shared" si="14"/>
        <v>4.4779999999999998</v>
      </c>
      <c r="I147" s="3">
        <f t="shared" si="14"/>
        <v>321.52</v>
      </c>
      <c r="J147" s="3">
        <f t="shared" si="14"/>
        <v>83</v>
      </c>
      <c r="K147" s="3">
        <f t="shared" si="14"/>
        <v>69</v>
      </c>
      <c r="L147" s="3">
        <f t="shared" si="14"/>
        <v>10.5</v>
      </c>
      <c r="M147" s="3">
        <f t="shared" si="14"/>
        <v>45.8</v>
      </c>
      <c r="N147" s="3">
        <f t="shared" si="14"/>
        <v>12.350000000000001</v>
      </c>
      <c r="O147" s="3">
        <f t="shared" si="14"/>
        <v>0.17</v>
      </c>
      <c r="P147" s="3">
        <f t="shared" si="14"/>
        <v>0.02</v>
      </c>
      <c r="Q147" s="3">
        <f t="shared" si="14"/>
        <v>0.35</v>
      </c>
      <c r="R147" s="3">
        <f t="shared" si="14"/>
        <v>0.05</v>
      </c>
      <c r="S147" s="3">
        <f t="shared" si="14"/>
        <v>0.8</v>
      </c>
      <c r="T147" s="26"/>
      <c r="U147" s="96"/>
      <c r="V147" s="96">
        <v>0</v>
      </c>
    </row>
    <row r="148" spans="2:22" x14ac:dyDescent="0.2">
      <c r="B148" s="69"/>
      <c r="C148" s="65" t="s">
        <v>149</v>
      </c>
      <c r="D148" s="69">
        <v>51.5</v>
      </c>
      <c r="E148" s="69">
        <v>50</v>
      </c>
      <c r="F148" s="69">
        <v>0.9</v>
      </c>
      <c r="G148" s="69">
        <v>0</v>
      </c>
      <c r="H148" s="3">
        <v>1.5</v>
      </c>
      <c r="I148" s="3">
        <v>11.5</v>
      </c>
      <c r="J148" s="3">
        <v>150</v>
      </c>
      <c r="K148" s="3">
        <v>24</v>
      </c>
      <c r="L148" s="3">
        <v>8</v>
      </c>
      <c r="M148" s="3">
        <v>15.5</v>
      </c>
      <c r="N148" s="3">
        <v>0.3</v>
      </c>
      <c r="O148" s="3">
        <v>0</v>
      </c>
      <c r="P148" s="3">
        <v>0.01</v>
      </c>
      <c r="Q148" s="3">
        <v>0.01</v>
      </c>
      <c r="R148" s="50">
        <v>0.2</v>
      </c>
      <c r="S148" s="3">
        <v>15</v>
      </c>
      <c r="T148" s="26"/>
      <c r="U148" s="96">
        <v>75</v>
      </c>
      <c r="V148" s="96">
        <v>3.8250000000000002</v>
      </c>
    </row>
    <row r="149" spans="2:22" x14ac:dyDescent="0.2">
      <c r="B149" s="69"/>
      <c r="C149" s="5" t="s">
        <v>106</v>
      </c>
      <c r="D149" s="69">
        <v>20</v>
      </c>
      <c r="E149" s="69">
        <v>20</v>
      </c>
      <c r="F149" s="69">
        <v>1.32</v>
      </c>
      <c r="G149" s="69">
        <v>0.24</v>
      </c>
      <c r="H149" s="69">
        <v>6.84</v>
      </c>
      <c r="I149" s="69">
        <v>36.200000000000003</v>
      </c>
      <c r="J149" s="69">
        <v>18.8</v>
      </c>
      <c r="K149" s="69">
        <v>6.8</v>
      </c>
      <c r="L149" s="69">
        <v>8.1999999999999993</v>
      </c>
      <c r="M149" s="69">
        <v>24</v>
      </c>
      <c r="N149" s="69">
        <v>0.46</v>
      </c>
      <c r="O149" s="69">
        <v>0</v>
      </c>
      <c r="P149" s="69">
        <v>2.1999999999999999E-2</v>
      </c>
      <c r="Q149" s="69">
        <v>1.6E-2</v>
      </c>
      <c r="R149" s="70">
        <v>0.128</v>
      </c>
      <c r="S149" s="69">
        <v>0</v>
      </c>
      <c r="T149" s="69">
        <v>35.9</v>
      </c>
      <c r="U149" s="96">
        <v>0.71799999999999997</v>
      </c>
      <c r="V149" s="32">
        <v>3.9330280000000002</v>
      </c>
    </row>
    <row r="150" spans="2:22" s="26" customFormat="1" ht="25.5" x14ac:dyDescent="0.2">
      <c r="B150" s="69"/>
      <c r="C150" s="5" t="s">
        <v>105</v>
      </c>
      <c r="D150" s="69">
        <v>30</v>
      </c>
      <c r="E150" s="69">
        <v>30</v>
      </c>
      <c r="F150" s="69">
        <f>7.7*E150/100</f>
        <v>2.31</v>
      </c>
      <c r="G150" s="69">
        <f>3*E150/100</f>
        <v>0.9</v>
      </c>
      <c r="H150" s="69">
        <f>49.8*E150/100</f>
        <v>14.94</v>
      </c>
      <c r="I150" s="69">
        <f>262*E150/100</f>
        <v>78.599999999999994</v>
      </c>
      <c r="J150" s="85">
        <f>127*E150/100</f>
        <v>38.1</v>
      </c>
      <c r="K150" s="69">
        <f>26*E150/100</f>
        <v>7.8</v>
      </c>
      <c r="L150" s="69">
        <f>35*E150/100</f>
        <v>10.5</v>
      </c>
      <c r="M150" s="85">
        <f>83*E150/100</f>
        <v>24.9</v>
      </c>
      <c r="N150" s="69">
        <f>1.6*E150/100</f>
        <v>0.48</v>
      </c>
      <c r="O150" s="69">
        <f>0</f>
        <v>0</v>
      </c>
      <c r="P150" s="69">
        <f>0.16*E150/100</f>
        <v>4.8000000000000001E-2</v>
      </c>
      <c r="Q150" s="69">
        <f>0.08*E150/100</f>
        <v>2.4E-2</v>
      </c>
      <c r="R150" s="69">
        <f>1.54*E150/100</f>
        <v>0.46200000000000002</v>
      </c>
      <c r="S150" s="69">
        <v>0</v>
      </c>
      <c r="T150" s="3"/>
      <c r="U150" s="96">
        <v>31.99</v>
      </c>
      <c r="V150" s="69">
        <f>D167*U167/1000</f>
        <v>0</v>
      </c>
    </row>
    <row r="151" spans="2:22" x14ac:dyDescent="0.2">
      <c r="B151" s="69" t="s">
        <v>24</v>
      </c>
      <c r="C151" s="5" t="s">
        <v>74</v>
      </c>
      <c r="D151" s="69" t="s">
        <v>75</v>
      </c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70"/>
      <c r="S151" s="69"/>
      <c r="T151" s="69"/>
      <c r="U151" s="96"/>
      <c r="V151" s="84"/>
    </row>
    <row r="152" spans="2:22" x14ac:dyDescent="0.2">
      <c r="B152" s="69" t="s">
        <v>73</v>
      </c>
      <c r="C152" s="65" t="s">
        <v>146</v>
      </c>
      <c r="D152" s="69">
        <v>50</v>
      </c>
      <c r="E152" s="69">
        <v>50</v>
      </c>
      <c r="F152" s="69">
        <v>0.1</v>
      </c>
      <c r="G152" s="69">
        <v>0</v>
      </c>
      <c r="H152" s="69">
        <v>0</v>
      </c>
      <c r="I152" s="69">
        <v>0.8</v>
      </c>
      <c r="J152" s="69">
        <v>12.4</v>
      </c>
      <c r="K152" s="69">
        <v>2.5</v>
      </c>
      <c r="L152" s="69">
        <v>2.2000000000000002</v>
      </c>
      <c r="M152" s="69">
        <v>4.0999999999999996</v>
      </c>
      <c r="N152" s="69">
        <v>0.4</v>
      </c>
      <c r="O152" s="69">
        <v>0</v>
      </c>
      <c r="P152" s="69">
        <v>0</v>
      </c>
      <c r="Q152" s="69">
        <v>0</v>
      </c>
      <c r="R152" s="70">
        <v>0</v>
      </c>
      <c r="S152" s="69">
        <v>0</v>
      </c>
      <c r="T152" s="69">
        <v>412</v>
      </c>
      <c r="U152" s="96">
        <v>0.41199999999999998</v>
      </c>
      <c r="V152" s="52">
        <v>17.8</v>
      </c>
    </row>
    <row r="153" spans="2:22" x14ac:dyDescent="0.2">
      <c r="B153" s="69"/>
      <c r="C153" s="39" t="s">
        <v>30</v>
      </c>
      <c r="D153" s="3">
        <v>15</v>
      </c>
      <c r="E153" s="3">
        <v>15</v>
      </c>
      <c r="F153" s="3">
        <v>0</v>
      </c>
      <c r="G153" s="3">
        <v>0</v>
      </c>
      <c r="H153" s="3">
        <v>15</v>
      </c>
      <c r="I153" s="3">
        <v>56.9</v>
      </c>
      <c r="J153" s="3">
        <v>0.5</v>
      </c>
      <c r="K153" s="3">
        <v>0.4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50">
        <v>0</v>
      </c>
      <c r="S153" s="3">
        <v>0</v>
      </c>
      <c r="T153" s="69">
        <v>35.159999999999997</v>
      </c>
      <c r="U153" s="96">
        <v>0.52739999999999998</v>
      </c>
      <c r="V153" s="135">
        <v>0</v>
      </c>
    </row>
    <row r="154" spans="2:22" x14ac:dyDescent="0.2">
      <c r="B154" s="69"/>
      <c r="C154" s="5" t="s">
        <v>35</v>
      </c>
      <c r="D154" s="3">
        <v>150</v>
      </c>
      <c r="E154" s="3">
        <v>150</v>
      </c>
      <c r="F154" s="69">
        <v>0</v>
      </c>
      <c r="G154" s="69">
        <v>0</v>
      </c>
      <c r="H154" s="69">
        <v>0</v>
      </c>
      <c r="I154" s="69">
        <v>0</v>
      </c>
      <c r="J154" s="85">
        <v>0</v>
      </c>
      <c r="K154" s="69">
        <v>0</v>
      </c>
      <c r="L154" s="69">
        <v>0</v>
      </c>
      <c r="M154" s="85">
        <v>0</v>
      </c>
      <c r="N154" s="69">
        <v>0</v>
      </c>
      <c r="O154" s="69">
        <v>0</v>
      </c>
      <c r="P154" s="69">
        <v>0</v>
      </c>
      <c r="Q154" s="69">
        <v>0</v>
      </c>
      <c r="R154" s="69">
        <v>0</v>
      </c>
      <c r="S154" s="69">
        <v>0</v>
      </c>
      <c r="T154" s="3">
        <v>0</v>
      </c>
      <c r="U154" s="32">
        <v>0</v>
      </c>
      <c r="V154" s="135">
        <v>0.372</v>
      </c>
    </row>
    <row r="155" spans="2:22" x14ac:dyDescent="0.2">
      <c r="B155" s="69"/>
      <c r="C155" s="5" t="s">
        <v>47</v>
      </c>
      <c r="D155" s="3"/>
      <c r="E155" s="3"/>
      <c r="F155" s="69">
        <v>0.1</v>
      </c>
      <c r="G155" s="69">
        <v>0</v>
      </c>
      <c r="H155" s="69">
        <v>15</v>
      </c>
      <c r="I155" s="69">
        <v>57.7</v>
      </c>
      <c r="J155" s="69">
        <v>12.9</v>
      </c>
      <c r="K155" s="69">
        <v>2.9</v>
      </c>
      <c r="L155" s="69">
        <v>2.2000000000000002</v>
      </c>
      <c r="M155" s="69">
        <v>4.12</v>
      </c>
      <c r="N155" s="69">
        <v>0.4</v>
      </c>
      <c r="O155" s="69">
        <v>0</v>
      </c>
      <c r="P155" s="69">
        <v>0</v>
      </c>
      <c r="Q155" s="69">
        <v>0</v>
      </c>
      <c r="R155" s="69">
        <v>0</v>
      </c>
      <c r="S155" s="69">
        <v>0</v>
      </c>
      <c r="T155" s="3"/>
      <c r="U155" s="32">
        <v>0.93940000000000001</v>
      </c>
      <c r="V155" s="135">
        <v>0.82899999999999996</v>
      </c>
    </row>
    <row r="156" spans="2:22" x14ac:dyDescent="0.2">
      <c r="B156" s="69"/>
      <c r="C156" s="42" t="s">
        <v>164</v>
      </c>
      <c r="D156" s="42"/>
      <c r="E156" s="42"/>
      <c r="F156" s="42">
        <v>28.915900000000001</v>
      </c>
      <c r="G156" s="42">
        <v>30.662700000000001</v>
      </c>
      <c r="H156" s="42">
        <v>88.719399999999993</v>
      </c>
      <c r="I156" s="42">
        <v>666.63760000000002</v>
      </c>
      <c r="J156" s="42">
        <v>786.74599999999998</v>
      </c>
      <c r="K156" s="42">
        <v>131.678</v>
      </c>
      <c r="L156" s="42">
        <v>135.65799999999999</v>
      </c>
      <c r="M156" s="42">
        <v>183.2825</v>
      </c>
      <c r="N156" s="42">
        <v>8.1952200000000008</v>
      </c>
      <c r="O156" s="42">
        <v>6.3E-2</v>
      </c>
      <c r="P156" s="42">
        <v>0.51873999999999998</v>
      </c>
      <c r="Q156" s="42">
        <v>0.33509100000000003</v>
      </c>
      <c r="R156" s="42">
        <v>6.69116</v>
      </c>
      <c r="S156" s="42">
        <v>45.122500000000002</v>
      </c>
      <c r="T156" s="42"/>
      <c r="U156" s="153">
        <v>33.19</v>
      </c>
      <c r="V156" s="135">
        <v>0.88400000000000001</v>
      </c>
    </row>
    <row r="157" spans="2:22" x14ac:dyDescent="0.2">
      <c r="B157" s="69"/>
      <c r="C157" s="196" t="s">
        <v>60</v>
      </c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70"/>
      <c r="S157" s="69"/>
      <c r="T157" s="69"/>
      <c r="U157" s="96"/>
      <c r="V157" s="84"/>
    </row>
    <row r="158" spans="2:22" x14ac:dyDescent="0.2">
      <c r="B158" s="69"/>
      <c r="C158" s="196" t="s">
        <v>163</v>
      </c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70"/>
      <c r="S158" s="69"/>
      <c r="T158" s="69"/>
      <c r="U158" s="96"/>
      <c r="V158" s="84"/>
    </row>
    <row r="159" spans="2:22" x14ac:dyDescent="0.2">
      <c r="B159" s="3" t="s">
        <v>110</v>
      </c>
      <c r="C159" s="137" t="s">
        <v>111</v>
      </c>
      <c r="D159" s="21"/>
      <c r="E159" s="21">
        <v>80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96"/>
      <c r="U159" s="84"/>
      <c r="V159" s="84"/>
    </row>
    <row r="160" spans="2:22" x14ac:dyDescent="0.2">
      <c r="B160" s="57"/>
      <c r="C160" s="138" t="s">
        <v>112</v>
      </c>
      <c r="D160" s="157">
        <v>80</v>
      </c>
      <c r="E160" s="138">
        <v>59.2</v>
      </c>
      <c r="F160" s="138">
        <v>6.5449999999999999</v>
      </c>
      <c r="G160" s="138">
        <v>5.6349999999999998</v>
      </c>
      <c r="H160" s="138">
        <v>0</v>
      </c>
      <c r="I160" s="138">
        <v>77</v>
      </c>
      <c r="J160" s="138">
        <v>82.6</v>
      </c>
      <c r="K160" s="139">
        <v>4.9000000000000004</v>
      </c>
      <c r="L160" s="140">
        <v>6.7</v>
      </c>
      <c r="M160" s="140">
        <v>56</v>
      </c>
      <c r="N160" s="138">
        <v>0.45500000000000002</v>
      </c>
      <c r="O160" s="138">
        <v>0.01</v>
      </c>
      <c r="P160" s="138">
        <v>3.2000000000000001E-2</v>
      </c>
      <c r="Q160" s="138">
        <v>5.2999999999999999E-2</v>
      </c>
      <c r="R160" s="138">
        <v>2.1349999999999998</v>
      </c>
      <c r="S160" s="139">
        <v>0.7</v>
      </c>
      <c r="T160" s="174">
        <v>329.03</v>
      </c>
      <c r="U160" s="52">
        <v>17.8</v>
      </c>
      <c r="V160" s="52">
        <v>17.8</v>
      </c>
    </row>
    <row r="161" spans="1:23" x14ac:dyDescent="0.2">
      <c r="B161" s="57"/>
      <c r="C161" s="157" t="s">
        <v>68</v>
      </c>
      <c r="D161" s="157">
        <v>14.4</v>
      </c>
      <c r="E161" s="157">
        <v>11.4</v>
      </c>
      <c r="F161" s="157">
        <v>0.61599999999999999</v>
      </c>
      <c r="G161" s="157">
        <v>0.24</v>
      </c>
      <c r="H161" s="157">
        <v>3.984</v>
      </c>
      <c r="I161" s="157">
        <v>20.96</v>
      </c>
      <c r="J161" s="157">
        <v>10.199999999999999</v>
      </c>
      <c r="K161" s="158">
        <v>2.1</v>
      </c>
      <c r="L161" s="157">
        <v>2.8</v>
      </c>
      <c r="M161" s="158">
        <v>6.6</v>
      </c>
      <c r="N161" s="157">
        <v>0.128</v>
      </c>
      <c r="O161" s="157">
        <v>0</v>
      </c>
      <c r="P161" s="157">
        <v>1.2999999999999999E-2</v>
      </c>
      <c r="Q161" s="157">
        <v>6.0000000000000001E-3</v>
      </c>
      <c r="R161" s="157">
        <v>0.123</v>
      </c>
      <c r="S161" s="157">
        <v>0</v>
      </c>
      <c r="T161" s="174">
        <v>29.92</v>
      </c>
      <c r="U161" s="135">
        <v>0</v>
      </c>
      <c r="V161" s="135">
        <v>0</v>
      </c>
    </row>
    <row r="162" spans="1:23" x14ac:dyDescent="0.2">
      <c r="B162" s="57"/>
      <c r="C162" s="157" t="s">
        <v>113</v>
      </c>
      <c r="D162" s="157">
        <v>11.2</v>
      </c>
      <c r="E162" s="157">
        <v>11.2</v>
      </c>
      <c r="F162" s="157">
        <v>0.374</v>
      </c>
      <c r="G162" s="157">
        <v>0.32200000000000001</v>
      </c>
      <c r="H162" s="175">
        <v>0</v>
      </c>
      <c r="I162" s="157">
        <v>4.4000000000000004</v>
      </c>
      <c r="J162" s="176">
        <v>4.7</v>
      </c>
      <c r="K162" s="157">
        <v>0.28000000000000003</v>
      </c>
      <c r="L162" s="157">
        <v>0.38</v>
      </c>
      <c r="M162" s="157">
        <v>3.2</v>
      </c>
      <c r="N162" s="157">
        <v>2.5999999999999999E-2</v>
      </c>
      <c r="O162" s="157">
        <v>0</v>
      </c>
      <c r="P162" s="157">
        <v>2E-3</v>
      </c>
      <c r="Q162" s="157">
        <v>3.0000000000000001E-3</v>
      </c>
      <c r="R162" s="157">
        <v>0.122</v>
      </c>
      <c r="S162" s="157">
        <v>0.04</v>
      </c>
      <c r="T162" s="174">
        <v>36.83</v>
      </c>
      <c r="U162" s="135">
        <v>0.372</v>
      </c>
      <c r="V162" s="135">
        <v>0.372</v>
      </c>
    </row>
    <row r="163" spans="1:23" s="26" customFormat="1" x14ac:dyDescent="0.2">
      <c r="B163" s="57"/>
      <c r="C163" s="157" t="s">
        <v>104</v>
      </c>
      <c r="D163" s="157">
        <v>8</v>
      </c>
      <c r="E163" s="157">
        <v>8</v>
      </c>
      <c r="F163" s="157">
        <v>0</v>
      </c>
      <c r="G163" s="157">
        <v>0</v>
      </c>
      <c r="H163" s="157">
        <v>0</v>
      </c>
      <c r="I163" s="157">
        <v>0</v>
      </c>
      <c r="J163" s="157">
        <v>0</v>
      </c>
      <c r="K163" s="158">
        <v>0</v>
      </c>
      <c r="L163" s="157">
        <v>0</v>
      </c>
      <c r="M163" s="158">
        <v>0</v>
      </c>
      <c r="N163" s="157">
        <v>0</v>
      </c>
      <c r="O163" s="157">
        <v>0</v>
      </c>
      <c r="P163" s="157">
        <v>0</v>
      </c>
      <c r="Q163" s="157">
        <v>0</v>
      </c>
      <c r="R163" s="157">
        <v>0</v>
      </c>
      <c r="S163" s="157">
        <v>0</v>
      </c>
      <c r="T163" s="174">
        <v>29.92</v>
      </c>
      <c r="U163" s="135">
        <v>0.82899999999999996</v>
      </c>
      <c r="V163" s="135">
        <v>0.82899999999999996</v>
      </c>
    </row>
    <row r="164" spans="1:23" s="26" customFormat="1" x14ac:dyDescent="0.2">
      <c r="B164" s="57"/>
      <c r="C164" s="157" t="s">
        <v>76</v>
      </c>
      <c r="D164" s="157">
        <v>5</v>
      </c>
      <c r="E164" s="157">
        <v>5</v>
      </c>
      <c r="F164" s="157">
        <v>0.38500000000000001</v>
      </c>
      <c r="G164" s="157">
        <v>0.15</v>
      </c>
      <c r="H164" s="157">
        <v>2.4900000000000002</v>
      </c>
      <c r="I164" s="157">
        <v>13.1</v>
      </c>
      <c r="J164" s="157">
        <v>6.4</v>
      </c>
      <c r="K164" s="157">
        <v>1.3</v>
      </c>
      <c r="L164" s="157">
        <v>1.75</v>
      </c>
      <c r="M164" s="157">
        <v>4.2</v>
      </c>
      <c r="N164" s="157">
        <v>0.08</v>
      </c>
      <c r="O164" s="157">
        <v>0</v>
      </c>
      <c r="P164" s="157">
        <v>8.0000000000000002E-3</v>
      </c>
      <c r="Q164" s="157">
        <v>4.0000000000000001E-3</v>
      </c>
      <c r="R164" s="157">
        <v>7.6999999999999999E-2</v>
      </c>
      <c r="S164" s="157">
        <v>0</v>
      </c>
      <c r="T164" s="174">
        <v>70.400000000000006</v>
      </c>
      <c r="U164" s="135">
        <v>0.88400000000000001</v>
      </c>
      <c r="V164" s="135">
        <v>0.88400000000000001</v>
      </c>
    </row>
    <row r="165" spans="1:23" s="67" customFormat="1" x14ac:dyDescent="0.2">
      <c r="A165" s="154"/>
      <c r="B165" s="57"/>
      <c r="C165" s="155" t="s">
        <v>79</v>
      </c>
      <c r="D165" s="157">
        <v>2.7</v>
      </c>
      <c r="E165" s="157">
        <v>2.7</v>
      </c>
      <c r="F165" s="157">
        <v>0</v>
      </c>
      <c r="G165" s="157">
        <v>2.9969999999999999</v>
      </c>
      <c r="H165" s="157">
        <v>0</v>
      </c>
      <c r="I165" s="157">
        <v>26.97</v>
      </c>
      <c r="J165" s="157">
        <v>0</v>
      </c>
      <c r="K165" s="157">
        <v>0</v>
      </c>
      <c r="L165" s="157">
        <v>0</v>
      </c>
      <c r="M165" s="157">
        <v>0</v>
      </c>
      <c r="N165" s="157">
        <v>0</v>
      </c>
      <c r="O165" s="157">
        <v>0</v>
      </c>
      <c r="P165" s="157">
        <v>0</v>
      </c>
      <c r="Q165" s="157">
        <v>0</v>
      </c>
      <c r="R165" s="157">
        <v>0</v>
      </c>
      <c r="S165" s="157">
        <v>0</v>
      </c>
      <c r="T165" s="174">
        <v>11.13</v>
      </c>
      <c r="U165" s="135">
        <v>0.14499999999999999</v>
      </c>
      <c r="V165" s="135">
        <v>0.14499999999999999</v>
      </c>
      <c r="W165" s="154"/>
    </row>
    <row r="166" spans="1:23" x14ac:dyDescent="0.2">
      <c r="B166" s="57"/>
      <c r="C166" s="18" t="s">
        <v>77</v>
      </c>
      <c r="D166" s="157"/>
      <c r="E166" s="138"/>
      <c r="F166" s="141">
        <v>7.92</v>
      </c>
      <c r="G166" s="141">
        <v>9.3439999999999994</v>
      </c>
      <c r="H166" s="141">
        <v>6.4740000000000002</v>
      </c>
      <c r="I166" s="141">
        <v>142.43</v>
      </c>
      <c r="J166" s="141">
        <v>103.83</v>
      </c>
      <c r="K166" s="141">
        <v>8.56</v>
      </c>
      <c r="L166" s="141">
        <v>11.58</v>
      </c>
      <c r="M166" s="141">
        <v>69.989999999999995</v>
      </c>
      <c r="N166" s="141">
        <v>0.68899999999999995</v>
      </c>
      <c r="O166" s="141">
        <v>0.01</v>
      </c>
      <c r="P166" s="141">
        <v>5.3999999999999999E-2</v>
      </c>
      <c r="Q166" s="141">
        <v>6.6000000000000003E-2</v>
      </c>
      <c r="R166" s="142">
        <v>2.4569999999999999</v>
      </c>
      <c r="S166" s="143">
        <v>0.74</v>
      </c>
      <c r="T166" s="174"/>
      <c r="U166" s="135">
        <v>20.07</v>
      </c>
      <c r="V166" s="138">
        <v>20.07</v>
      </c>
    </row>
    <row r="167" spans="1:23" x14ac:dyDescent="0.2">
      <c r="B167" s="69" t="s">
        <v>127</v>
      </c>
      <c r="C167" s="19" t="s">
        <v>128</v>
      </c>
      <c r="D167" s="84"/>
      <c r="E167" s="21">
        <v>150</v>
      </c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3"/>
      <c r="U167" s="135"/>
      <c r="V167" s="84"/>
    </row>
    <row r="168" spans="1:23" x14ac:dyDescent="0.2">
      <c r="B168" s="69"/>
      <c r="C168" s="161" t="s">
        <v>120</v>
      </c>
      <c r="D168" s="162">
        <v>213</v>
      </c>
      <c r="E168" s="162">
        <v>171</v>
      </c>
      <c r="F168" s="69">
        <f>1.8*E168/100</f>
        <v>3.0780000000000003</v>
      </c>
      <c r="G168" s="69">
        <v>0</v>
      </c>
      <c r="H168" s="69">
        <f>4.7*E168/100</f>
        <v>8.0370000000000008</v>
      </c>
      <c r="I168" s="69">
        <f>28*E168/100</f>
        <v>47.88</v>
      </c>
      <c r="J168" s="69">
        <f>300*E168/100</f>
        <v>513</v>
      </c>
      <c r="K168" s="69">
        <f>48*E168/100</f>
        <v>82.08</v>
      </c>
      <c r="L168" s="69">
        <f>16*E168/100</f>
        <v>27.36</v>
      </c>
      <c r="M168" s="69">
        <f>31*E168/100</f>
        <v>53.01</v>
      </c>
      <c r="N168" s="69">
        <v>0</v>
      </c>
      <c r="O168" s="69">
        <v>0</v>
      </c>
      <c r="P168" s="69">
        <v>0</v>
      </c>
      <c r="Q168" s="69">
        <v>0</v>
      </c>
      <c r="R168" s="70">
        <v>0</v>
      </c>
      <c r="S168" s="69">
        <f>45*E168/100</f>
        <v>76.95</v>
      </c>
      <c r="T168" s="69"/>
      <c r="U168" s="96">
        <v>35.630000000000003</v>
      </c>
      <c r="V168" s="84">
        <f t="shared" ref="V168:V177" si="15">D168*U168/1000</f>
        <v>7.5891900000000003</v>
      </c>
    </row>
    <row r="169" spans="1:23" x14ac:dyDescent="0.2">
      <c r="B169" s="69"/>
      <c r="C169" s="161" t="s">
        <v>129</v>
      </c>
      <c r="D169" s="162">
        <v>4.5</v>
      </c>
      <c r="E169" s="162">
        <v>4.5</v>
      </c>
      <c r="F169" s="84">
        <v>0</v>
      </c>
      <c r="G169" s="84">
        <v>0</v>
      </c>
      <c r="H169" s="84">
        <v>0</v>
      </c>
      <c r="I169" s="84">
        <v>0</v>
      </c>
      <c r="J169" s="84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0</v>
      </c>
      <c r="Q169" s="84">
        <v>0</v>
      </c>
      <c r="R169" s="84">
        <v>0</v>
      </c>
      <c r="S169" s="84">
        <v>0</v>
      </c>
      <c r="T169" s="69"/>
      <c r="U169" s="96">
        <v>0</v>
      </c>
      <c r="V169" s="84">
        <f t="shared" si="15"/>
        <v>0</v>
      </c>
    </row>
    <row r="170" spans="1:23" ht="17.25" customHeight="1" x14ac:dyDescent="0.2">
      <c r="B170" s="69"/>
      <c r="C170" s="161" t="s">
        <v>76</v>
      </c>
      <c r="D170" s="162">
        <v>6</v>
      </c>
      <c r="E170" s="162">
        <v>6</v>
      </c>
      <c r="F170" s="69">
        <v>0</v>
      </c>
      <c r="G170" s="69">
        <f>99.9*E170/100</f>
        <v>5.9940000000000007</v>
      </c>
      <c r="H170" s="69">
        <v>0</v>
      </c>
      <c r="I170" s="69">
        <f>899*E170/100</f>
        <v>53.94</v>
      </c>
      <c r="J170" s="85">
        <v>0</v>
      </c>
      <c r="K170" s="69">
        <v>0</v>
      </c>
      <c r="L170" s="69">
        <v>0</v>
      </c>
      <c r="M170" s="85">
        <v>0</v>
      </c>
      <c r="N170" s="69">
        <v>0</v>
      </c>
      <c r="O170" s="69">
        <v>0</v>
      </c>
      <c r="P170" s="69">
        <v>0</v>
      </c>
      <c r="Q170" s="69">
        <v>0</v>
      </c>
      <c r="R170" s="69">
        <v>0</v>
      </c>
      <c r="S170" s="69">
        <v>0</v>
      </c>
      <c r="T170" s="69"/>
      <c r="U170" s="96">
        <v>83.43</v>
      </c>
      <c r="V170" s="84">
        <f t="shared" si="15"/>
        <v>0.50058000000000002</v>
      </c>
    </row>
    <row r="171" spans="1:23" x14ac:dyDescent="0.2">
      <c r="B171" s="69"/>
      <c r="C171" s="161" t="s">
        <v>36</v>
      </c>
      <c r="D171" s="159">
        <v>3.6</v>
      </c>
      <c r="E171" s="162">
        <v>3.6</v>
      </c>
      <c r="F171" s="34">
        <f>4.8*E171/100</f>
        <v>0.17280000000000001</v>
      </c>
      <c r="G171" s="34">
        <v>0</v>
      </c>
      <c r="H171" s="34">
        <f>19*E171/100</f>
        <v>0.68400000000000005</v>
      </c>
      <c r="I171" s="34">
        <f>102*E171/100</f>
        <v>3.6719999999999997</v>
      </c>
      <c r="J171" s="34">
        <f>875*E171/100</f>
        <v>31.5</v>
      </c>
      <c r="K171" s="34">
        <f>20*E171/100</f>
        <v>0.72</v>
      </c>
      <c r="L171" s="34">
        <f>50*E171/100</f>
        <v>1.8</v>
      </c>
      <c r="M171" s="34">
        <f>68*E171/100</f>
        <v>2.448</v>
      </c>
      <c r="N171" s="34">
        <f>2.3*E171/100</f>
        <v>8.2799999999999999E-2</v>
      </c>
      <c r="O171" s="34">
        <v>0</v>
      </c>
      <c r="P171" s="34">
        <v>0</v>
      </c>
      <c r="Q171" s="34">
        <v>0</v>
      </c>
      <c r="R171" s="34">
        <v>0</v>
      </c>
      <c r="S171" s="34">
        <f>45*E171/100</f>
        <v>1.62</v>
      </c>
      <c r="T171" s="3"/>
      <c r="U171" s="96">
        <v>120</v>
      </c>
      <c r="V171" s="84">
        <f t="shared" si="15"/>
        <v>0.432</v>
      </c>
    </row>
    <row r="172" spans="1:23" x14ac:dyDescent="0.2">
      <c r="B172" s="69"/>
      <c r="C172" s="65" t="s">
        <v>32</v>
      </c>
      <c r="D172" s="159">
        <v>4.5</v>
      </c>
      <c r="E172" s="159">
        <v>3.8</v>
      </c>
      <c r="F172" s="34">
        <f>1.3*E172/100</f>
        <v>4.9399999999999993E-2</v>
      </c>
      <c r="G172" s="34">
        <v>0</v>
      </c>
      <c r="H172" s="34">
        <f>6.9*E172/100</f>
        <v>0.26219999999999999</v>
      </c>
      <c r="I172" s="34">
        <f>35*E172/100</f>
        <v>1.33</v>
      </c>
      <c r="J172" s="34">
        <f>200*E172/100</f>
        <v>7.6</v>
      </c>
      <c r="K172" s="34">
        <f>27*E172/100</f>
        <v>1.026</v>
      </c>
      <c r="L172" s="34">
        <f>38*E172/100</f>
        <v>1.444</v>
      </c>
      <c r="M172" s="34">
        <f>55*E172/100</f>
        <v>2.09</v>
      </c>
      <c r="N172" s="34">
        <v>0</v>
      </c>
      <c r="O172" s="34">
        <v>0</v>
      </c>
      <c r="P172" s="34">
        <v>0</v>
      </c>
      <c r="Q172" s="34">
        <v>0</v>
      </c>
      <c r="R172" s="34">
        <f>1*E172/100</f>
        <v>3.7999999999999999E-2</v>
      </c>
      <c r="S172" s="34">
        <f>5*E172/100</f>
        <v>0.19</v>
      </c>
      <c r="T172" s="69"/>
      <c r="U172" s="96">
        <v>32.71</v>
      </c>
      <c r="V172" s="84">
        <f t="shared" si="15"/>
        <v>0.14719499999999999</v>
      </c>
    </row>
    <row r="173" spans="1:23" x14ac:dyDescent="0.2">
      <c r="B173" s="69"/>
      <c r="C173" s="65" t="s">
        <v>33</v>
      </c>
      <c r="D173" s="159">
        <v>7.5</v>
      </c>
      <c r="E173" s="159">
        <v>6</v>
      </c>
      <c r="F173" s="69">
        <f>1.4*E173/100</f>
        <v>8.3999999999999991E-2</v>
      </c>
      <c r="G173" s="157">
        <v>0</v>
      </c>
      <c r="H173" s="157">
        <f>8.2*E173/100</f>
        <v>0.49199999999999994</v>
      </c>
      <c r="I173" s="157">
        <f>41*E173/100</f>
        <v>2.46</v>
      </c>
      <c r="J173" s="158">
        <f>175*E173/100</f>
        <v>10.5</v>
      </c>
      <c r="K173" s="157">
        <f>31*E173/100</f>
        <v>1.86</v>
      </c>
      <c r="L173" s="157">
        <f>14*E173/100</f>
        <v>0.84</v>
      </c>
      <c r="M173" s="158">
        <f>58*E173/100</f>
        <v>3.48</v>
      </c>
      <c r="N173" s="157">
        <v>0</v>
      </c>
      <c r="O173" s="157">
        <v>0</v>
      </c>
      <c r="P173" s="157">
        <v>0</v>
      </c>
      <c r="Q173" s="157">
        <v>0</v>
      </c>
      <c r="R173" s="157">
        <v>0</v>
      </c>
      <c r="S173" s="157">
        <f>10*E173/100</f>
        <v>0.6</v>
      </c>
      <c r="T173" s="69"/>
      <c r="U173" s="96">
        <v>29.62</v>
      </c>
      <c r="V173" s="84">
        <f t="shared" si="15"/>
        <v>0.22215000000000001</v>
      </c>
    </row>
    <row r="174" spans="1:23" ht="12.75" customHeight="1" x14ac:dyDescent="0.2">
      <c r="B174" s="69"/>
      <c r="C174" s="65" t="s">
        <v>39</v>
      </c>
      <c r="D174" s="159">
        <v>1.2E-2</v>
      </c>
      <c r="E174" s="159">
        <v>1.2E-2</v>
      </c>
      <c r="F174" s="69">
        <v>0</v>
      </c>
      <c r="G174" s="69">
        <v>0</v>
      </c>
      <c r="H174" s="69">
        <v>0</v>
      </c>
      <c r="I174" s="69">
        <v>0</v>
      </c>
      <c r="J174" s="86">
        <v>0</v>
      </c>
      <c r="K174" s="69">
        <v>0</v>
      </c>
      <c r="L174" s="69">
        <v>0</v>
      </c>
      <c r="M174" s="85">
        <v>0</v>
      </c>
      <c r="N174" s="69">
        <v>0</v>
      </c>
      <c r="O174" s="69">
        <v>0</v>
      </c>
      <c r="P174" s="69">
        <v>0</v>
      </c>
      <c r="Q174" s="69">
        <v>0</v>
      </c>
      <c r="R174" s="70">
        <v>0</v>
      </c>
      <c r="S174" s="69">
        <v>0</v>
      </c>
      <c r="T174" s="69"/>
      <c r="U174" s="96">
        <v>300</v>
      </c>
      <c r="V174" s="84">
        <f t="shared" si="15"/>
        <v>3.5999999999999999E-3</v>
      </c>
    </row>
    <row r="175" spans="1:23" ht="14.25" customHeight="1" x14ac:dyDescent="0.2">
      <c r="B175" s="69"/>
      <c r="C175" s="65" t="s">
        <v>38</v>
      </c>
      <c r="D175" s="159">
        <v>1.5</v>
      </c>
      <c r="E175" s="159">
        <v>1.5</v>
      </c>
      <c r="F175" s="69">
        <f>10.3*E175/100</f>
        <v>0.1545</v>
      </c>
      <c r="G175" s="69">
        <f>1.1*E175/100</f>
        <v>1.6500000000000001E-2</v>
      </c>
      <c r="H175" s="69">
        <f>69*E175/100</f>
        <v>1.0349999999999999</v>
      </c>
      <c r="I175" s="69">
        <f>334*E175/100</f>
        <v>5.01</v>
      </c>
      <c r="J175" s="85">
        <f>176*E175/100</f>
        <v>2.64</v>
      </c>
      <c r="K175" s="69">
        <f>24*E175/100</f>
        <v>0.36</v>
      </c>
      <c r="L175" s="69">
        <f>44*E175/100</f>
        <v>0.66</v>
      </c>
      <c r="M175" s="85">
        <f>115*E175/100</f>
        <v>1.7250000000000001</v>
      </c>
      <c r="N175" s="69">
        <f>2.1*E175/100</f>
        <v>3.15E-2</v>
      </c>
      <c r="O175" s="69">
        <v>0</v>
      </c>
      <c r="P175" s="69">
        <v>0</v>
      </c>
      <c r="Q175" s="69">
        <v>0</v>
      </c>
      <c r="R175" s="69">
        <v>0</v>
      </c>
      <c r="S175" s="69">
        <v>0</v>
      </c>
      <c r="T175" s="69"/>
      <c r="U175" s="96">
        <v>27.31</v>
      </c>
      <c r="V175" s="84">
        <f t="shared" si="15"/>
        <v>4.0964999999999994E-2</v>
      </c>
    </row>
    <row r="176" spans="1:23" x14ac:dyDescent="0.2">
      <c r="B176" s="69"/>
      <c r="C176" s="65" t="s">
        <v>30</v>
      </c>
      <c r="D176" s="159">
        <v>4.5</v>
      </c>
      <c r="E176" s="159">
        <v>4.5</v>
      </c>
      <c r="F176" s="84">
        <v>0</v>
      </c>
      <c r="G176" s="84">
        <v>0</v>
      </c>
      <c r="H176" s="84">
        <f>99.8*E176/100</f>
        <v>4.4909999999999997</v>
      </c>
      <c r="I176" s="84">
        <f>379*E176/100</f>
        <v>17.055</v>
      </c>
      <c r="J176" s="84">
        <f>3*E176/100</f>
        <v>0.13500000000000001</v>
      </c>
      <c r="K176" s="84">
        <f>2*E176/100</f>
        <v>0.09</v>
      </c>
      <c r="L176" s="84">
        <v>0</v>
      </c>
      <c r="M176" s="84">
        <v>0</v>
      </c>
      <c r="N176" s="84">
        <v>0</v>
      </c>
      <c r="O176" s="84">
        <v>0</v>
      </c>
      <c r="P176" s="84">
        <v>0</v>
      </c>
      <c r="Q176" s="84">
        <v>0</v>
      </c>
      <c r="R176" s="84">
        <v>0</v>
      </c>
      <c r="S176" s="84">
        <v>0</v>
      </c>
      <c r="T176" s="69"/>
      <c r="U176" s="96">
        <v>50.97</v>
      </c>
      <c r="V176" s="84">
        <f t="shared" si="15"/>
        <v>0.22936500000000001</v>
      </c>
    </row>
    <row r="177" spans="2:22" x14ac:dyDescent="0.2">
      <c r="B177" s="69"/>
      <c r="C177" s="65" t="s">
        <v>46</v>
      </c>
      <c r="D177" s="159">
        <v>0.5</v>
      </c>
      <c r="E177" s="159">
        <v>0.5</v>
      </c>
      <c r="F177" s="69">
        <v>0</v>
      </c>
      <c r="G177" s="69">
        <v>0</v>
      </c>
      <c r="H177" s="69">
        <v>0</v>
      </c>
      <c r="I177" s="69">
        <v>0</v>
      </c>
      <c r="J177" s="69">
        <v>0</v>
      </c>
      <c r="K177" s="69">
        <v>0</v>
      </c>
      <c r="L177" s="69">
        <v>0</v>
      </c>
      <c r="M177" s="69">
        <v>0</v>
      </c>
      <c r="N177" s="69">
        <v>0</v>
      </c>
      <c r="O177" s="69">
        <v>0</v>
      </c>
      <c r="P177" s="69">
        <v>0</v>
      </c>
      <c r="Q177" s="69">
        <v>0</v>
      </c>
      <c r="R177" s="70">
        <v>0</v>
      </c>
      <c r="S177" s="69">
        <v>0</v>
      </c>
      <c r="T177" s="69"/>
      <c r="U177" s="96">
        <v>11.63</v>
      </c>
      <c r="V177" s="84">
        <f t="shared" si="15"/>
        <v>5.8150000000000007E-3</v>
      </c>
    </row>
    <row r="178" spans="2:22" s="26" customFormat="1" x14ac:dyDescent="0.2">
      <c r="B178" s="69"/>
      <c r="C178" s="90" t="s">
        <v>77</v>
      </c>
      <c r="D178" s="196"/>
      <c r="E178" s="196"/>
      <c r="F178" s="3">
        <f>SUM(F168:F177)</f>
        <v>3.5387000000000004</v>
      </c>
      <c r="G178" s="3">
        <f t="shared" ref="G178:S178" si="16">SUM(G168:G177)</f>
        <v>6.0105000000000004</v>
      </c>
      <c r="H178" s="3">
        <f t="shared" si="16"/>
        <v>15.001199999999999</v>
      </c>
      <c r="I178" s="3">
        <f t="shared" si="16"/>
        <v>131.34699999999998</v>
      </c>
      <c r="J178" s="3">
        <f t="shared" si="16"/>
        <v>565.375</v>
      </c>
      <c r="K178" s="3">
        <f t="shared" si="16"/>
        <v>86.135999999999996</v>
      </c>
      <c r="L178" s="3">
        <f t="shared" si="16"/>
        <v>32.103999999999999</v>
      </c>
      <c r="M178" s="3">
        <f t="shared" si="16"/>
        <v>62.753</v>
      </c>
      <c r="N178" s="3">
        <f t="shared" si="16"/>
        <v>0.1143</v>
      </c>
      <c r="O178" s="3">
        <f t="shared" si="16"/>
        <v>0</v>
      </c>
      <c r="P178" s="3">
        <f t="shared" si="16"/>
        <v>0</v>
      </c>
      <c r="Q178" s="3">
        <f t="shared" si="16"/>
        <v>0</v>
      </c>
      <c r="R178" s="3">
        <f t="shared" si="16"/>
        <v>3.7999999999999999E-2</v>
      </c>
      <c r="S178" s="3">
        <f t="shared" si="16"/>
        <v>79.36</v>
      </c>
      <c r="T178" s="69"/>
      <c r="U178" s="96"/>
      <c r="V178" s="21">
        <f>SUM(V168:V177)</f>
        <v>9.1708599999999993</v>
      </c>
    </row>
    <row r="179" spans="2:22" s="26" customFormat="1" x14ac:dyDescent="0.2">
      <c r="B179" s="69" t="s">
        <v>73</v>
      </c>
      <c r="C179" s="5" t="s">
        <v>74</v>
      </c>
      <c r="D179" s="313" t="s">
        <v>75</v>
      </c>
      <c r="E179" s="314"/>
      <c r="F179" s="4"/>
      <c r="G179" s="4"/>
      <c r="H179" s="4"/>
      <c r="I179" s="4"/>
      <c r="J179" s="11"/>
      <c r="K179" s="4"/>
      <c r="L179" s="4"/>
      <c r="M179" s="11"/>
      <c r="N179" s="4"/>
      <c r="O179" s="4"/>
      <c r="P179" s="4"/>
      <c r="Q179" s="4"/>
      <c r="R179" s="51"/>
      <c r="S179" s="4"/>
      <c r="T179" s="69"/>
      <c r="U179" s="96"/>
      <c r="V179" s="84"/>
    </row>
    <row r="180" spans="2:22" s="26" customFormat="1" x14ac:dyDescent="0.2">
      <c r="B180" s="69"/>
      <c r="C180" s="65" t="s">
        <v>40</v>
      </c>
      <c r="D180" s="159">
        <v>50</v>
      </c>
      <c r="E180" s="159">
        <v>50</v>
      </c>
      <c r="F180" s="69">
        <v>0.1</v>
      </c>
      <c r="G180" s="69">
        <v>0</v>
      </c>
      <c r="H180" s="69">
        <v>0</v>
      </c>
      <c r="I180" s="69">
        <v>0.8</v>
      </c>
      <c r="J180" s="85">
        <v>12.4</v>
      </c>
      <c r="K180" s="69">
        <v>2.5</v>
      </c>
      <c r="L180" s="69">
        <v>2.2000000000000002</v>
      </c>
      <c r="M180" s="85">
        <v>4.12</v>
      </c>
      <c r="N180" s="69">
        <v>0.4</v>
      </c>
      <c r="O180" s="69">
        <v>0</v>
      </c>
      <c r="P180" s="69">
        <v>0</v>
      </c>
      <c r="Q180" s="69">
        <v>0</v>
      </c>
      <c r="R180" s="70">
        <v>0</v>
      </c>
      <c r="S180" s="69">
        <v>0</v>
      </c>
      <c r="T180" s="69"/>
      <c r="U180" s="96">
        <v>539.16999999999996</v>
      </c>
      <c r="V180" s="84">
        <f>1*U180/1000</f>
        <v>0.53916999999999993</v>
      </c>
    </row>
    <row r="181" spans="2:22" s="26" customFormat="1" x14ac:dyDescent="0.2">
      <c r="B181" s="69"/>
      <c r="C181" s="65" t="s">
        <v>30</v>
      </c>
      <c r="D181" s="159">
        <v>15</v>
      </c>
      <c r="E181" s="159">
        <v>15</v>
      </c>
      <c r="F181" s="69">
        <v>0</v>
      </c>
      <c r="G181" s="69">
        <v>0</v>
      </c>
      <c r="H181" s="69">
        <v>15</v>
      </c>
      <c r="I181" s="69">
        <v>56.9</v>
      </c>
      <c r="J181" s="85">
        <v>0.5</v>
      </c>
      <c r="K181" s="69">
        <v>0.4</v>
      </c>
      <c r="L181" s="69">
        <v>0</v>
      </c>
      <c r="M181" s="85">
        <v>0</v>
      </c>
      <c r="N181" s="69">
        <v>0</v>
      </c>
      <c r="O181" s="69">
        <v>0</v>
      </c>
      <c r="P181" s="69">
        <v>0</v>
      </c>
      <c r="Q181" s="69">
        <v>0</v>
      </c>
      <c r="R181" s="70">
        <v>0</v>
      </c>
      <c r="S181" s="69">
        <v>0</v>
      </c>
      <c r="T181" s="69"/>
      <c r="U181" s="96">
        <v>50.97</v>
      </c>
      <c r="V181" s="84">
        <f>D181*U181/1000</f>
        <v>0.76454999999999995</v>
      </c>
    </row>
    <row r="182" spans="2:22" s="26" customFormat="1" x14ac:dyDescent="0.2">
      <c r="B182" s="69"/>
      <c r="C182" s="65" t="s">
        <v>35</v>
      </c>
      <c r="D182" s="159">
        <v>150</v>
      </c>
      <c r="E182" s="159">
        <v>150</v>
      </c>
      <c r="F182" s="69">
        <v>0</v>
      </c>
      <c r="G182" s="69">
        <v>0</v>
      </c>
      <c r="H182" s="69">
        <v>0</v>
      </c>
      <c r="I182" s="69">
        <v>0</v>
      </c>
      <c r="J182" s="69">
        <v>0</v>
      </c>
      <c r="K182" s="69">
        <v>0</v>
      </c>
      <c r="L182" s="69">
        <v>0</v>
      </c>
      <c r="M182" s="69">
        <v>0</v>
      </c>
      <c r="N182" s="69">
        <v>0</v>
      </c>
      <c r="O182" s="69">
        <v>0</v>
      </c>
      <c r="P182" s="69">
        <v>0</v>
      </c>
      <c r="Q182" s="69">
        <v>0</v>
      </c>
      <c r="R182" s="70">
        <v>0</v>
      </c>
      <c r="S182" s="69">
        <v>0</v>
      </c>
      <c r="T182" s="69"/>
      <c r="U182" s="96">
        <v>0</v>
      </c>
      <c r="V182" s="84">
        <f>D182*U182/1000</f>
        <v>0</v>
      </c>
    </row>
    <row r="183" spans="2:22" s="26" customFormat="1" x14ac:dyDescent="0.2">
      <c r="B183" s="69"/>
      <c r="C183" s="39" t="s">
        <v>47</v>
      </c>
      <c r="D183" s="3"/>
      <c r="E183" s="3"/>
      <c r="F183" s="3">
        <f t="shared" ref="F183:S183" si="17">SUM(F180:F182)</f>
        <v>0.1</v>
      </c>
      <c r="G183" s="3">
        <f t="shared" si="17"/>
        <v>0</v>
      </c>
      <c r="H183" s="3">
        <f t="shared" si="17"/>
        <v>15</v>
      </c>
      <c r="I183" s="3">
        <f t="shared" si="17"/>
        <v>57.699999999999996</v>
      </c>
      <c r="J183" s="3">
        <f t="shared" si="17"/>
        <v>12.9</v>
      </c>
      <c r="K183" s="3">
        <f t="shared" si="17"/>
        <v>2.9</v>
      </c>
      <c r="L183" s="3">
        <f t="shared" si="17"/>
        <v>2.2000000000000002</v>
      </c>
      <c r="M183" s="3">
        <f t="shared" si="17"/>
        <v>4.12</v>
      </c>
      <c r="N183" s="3">
        <f t="shared" si="17"/>
        <v>0.4</v>
      </c>
      <c r="O183" s="3">
        <f t="shared" si="17"/>
        <v>0</v>
      </c>
      <c r="P183" s="3">
        <f t="shared" si="17"/>
        <v>0</v>
      </c>
      <c r="Q183" s="3">
        <f t="shared" si="17"/>
        <v>0</v>
      </c>
      <c r="R183" s="50">
        <f t="shared" si="17"/>
        <v>0</v>
      </c>
      <c r="S183" s="3">
        <f t="shared" si="17"/>
        <v>0</v>
      </c>
      <c r="T183" s="3"/>
      <c r="U183" s="32"/>
      <c r="V183" s="21">
        <f>SUM(V180:V182)</f>
        <v>1.3037199999999998</v>
      </c>
    </row>
    <row r="184" spans="2:22" s="26" customFormat="1" ht="25.5" x14ac:dyDescent="0.2">
      <c r="B184" s="69" t="s">
        <v>24</v>
      </c>
      <c r="C184" s="5" t="s">
        <v>105</v>
      </c>
      <c r="D184" s="69">
        <v>30</v>
      </c>
      <c r="E184" s="3">
        <v>30</v>
      </c>
      <c r="F184" s="69">
        <v>1.54</v>
      </c>
      <c r="G184" s="69">
        <v>0.6</v>
      </c>
      <c r="H184" s="69">
        <v>9.9600000000000009</v>
      </c>
      <c r="I184" s="69">
        <v>52.4</v>
      </c>
      <c r="J184" s="69">
        <v>25.4</v>
      </c>
      <c r="K184" s="69">
        <v>5.2</v>
      </c>
      <c r="L184" s="69">
        <v>7</v>
      </c>
      <c r="M184" s="69">
        <v>16.600000000000001</v>
      </c>
      <c r="N184" s="69">
        <v>0.32</v>
      </c>
      <c r="O184" s="69">
        <v>0</v>
      </c>
      <c r="P184" s="69">
        <v>3.2000000000000001E-2</v>
      </c>
      <c r="Q184" s="69">
        <v>1.6E-2</v>
      </c>
      <c r="R184" s="70">
        <v>0.308</v>
      </c>
      <c r="S184" s="69">
        <v>0</v>
      </c>
      <c r="T184" s="69">
        <v>29.29</v>
      </c>
      <c r="U184" s="96">
        <v>0.58584000000000003</v>
      </c>
      <c r="V184" s="84"/>
    </row>
    <row r="185" spans="2:22" s="26" customFormat="1" x14ac:dyDescent="0.2">
      <c r="B185" s="69"/>
      <c r="C185" s="3" t="s">
        <v>164</v>
      </c>
      <c r="D185" s="69"/>
      <c r="E185" s="69"/>
      <c r="F185" s="3">
        <v>31.069400000000002</v>
      </c>
      <c r="G185" s="3">
        <v>30.939299999999999</v>
      </c>
      <c r="H185" s="3">
        <v>107.2024</v>
      </c>
      <c r="I185" s="3">
        <v>781.80960000000005</v>
      </c>
      <c r="J185" s="3">
        <v>710.69899999999996</v>
      </c>
      <c r="K185" s="3">
        <v>65.001999999999995</v>
      </c>
      <c r="L185" s="3">
        <v>68.805999999999997</v>
      </c>
      <c r="M185" s="3">
        <v>254.53200000000001</v>
      </c>
      <c r="N185" s="3">
        <v>7.3377999999999997</v>
      </c>
      <c r="O185" s="3">
        <v>8.2750000000000004E-2</v>
      </c>
      <c r="P185" s="3">
        <v>0.29818</v>
      </c>
      <c r="Q185" s="3">
        <v>0.25728299999999998</v>
      </c>
      <c r="R185" s="50">
        <v>4.6688000000000001</v>
      </c>
      <c r="S185" s="3">
        <v>14.24</v>
      </c>
      <c r="T185" s="3"/>
      <c r="U185" s="32">
        <v>30.55</v>
      </c>
      <c r="V185" s="21">
        <v>30.55</v>
      </c>
    </row>
    <row r="186" spans="2:22" s="26" customFormat="1" x14ac:dyDescent="0.2">
      <c r="B186" s="69"/>
      <c r="C186" s="196" t="s">
        <v>61</v>
      </c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70"/>
      <c r="S186" s="69"/>
      <c r="T186" s="69"/>
      <c r="U186" s="96"/>
      <c r="V186" s="84"/>
    </row>
    <row r="187" spans="2:22" s="26" customFormat="1" x14ac:dyDescent="0.2">
      <c r="B187" s="69"/>
      <c r="C187" s="196" t="s">
        <v>163</v>
      </c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70"/>
      <c r="S187" s="69"/>
      <c r="T187" s="69"/>
      <c r="U187" s="96"/>
      <c r="V187" s="84"/>
    </row>
    <row r="188" spans="2:22" s="26" customFormat="1" x14ac:dyDescent="0.2">
      <c r="B188" s="69" t="s">
        <v>89</v>
      </c>
      <c r="C188" s="5" t="s">
        <v>80</v>
      </c>
      <c r="D188" s="69"/>
      <c r="E188" s="3">
        <v>80</v>
      </c>
      <c r="F188" s="3"/>
      <c r="G188" s="3"/>
      <c r="H188" s="3"/>
      <c r="I188" s="32"/>
      <c r="J188" s="3"/>
      <c r="K188" s="32"/>
      <c r="L188" s="32"/>
      <c r="M188" s="7"/>
      <c r="N188" s="3"/>
      <c r="O188" s="3"/>
      <c r="P188" s="3"/>
      <c r="Q188" s="3"/>
      <c r="R188" s="3"/>
      <c r="S188" s="32"/>
      <c r="T188" s="69"/>
      <c r="U188" s="96"/>
      <c r="V188" s="84"/>
    </row>
    <row r="189" spans="2:22" s="26" customFormat="1" x14ac:dyDescent="0.2">
      <c r="B189" s="69"/>
      <c r="C189" s="155" t="s">
        <v>67</v>
      </c>
      <c r="D189" s="69">
        <v>69.3</v>
      </c>
      <c r="E189" s="69">
        <v>50.6</v>
      </c>
      <c r="F189" s="69">
        <v>11.4</v>
      </c>
      <c r="G189" s="69">
        <v>8.09</v>
      </c>
      <c r="H189" s="69">
        <v>0</v>
      </c>
      <c r="I189" s="96">
        <v>110</v>
      </c>
      <c r="J189" s="69">
        <v>164.5</v>
      </c>
      <c r="K189" s="85">
        <v>4.5</v>
      </c>
      <c r="L189" s="85">
        <v>11.1</v>
      </c>
      <c r="M189" s="85">
        <v>95.1</v>
      </c>
      <c r="N189" s="69">
        <v>1.4</v>
      </c>
      <c r="O189" s="69">
        <v>0</v>
      </c>
      <c r="P189" s="69">
        <v>0.03</v>
      </c>
      <c r="Q189" s="69">
        <v>0.1</v>
      </c>
      <c r="R189" s="69">
        <v>2.2999999999999998</v>
      </c>
      <c r="S189" s="96">
        <v>0</v>
      </c>
      <c r="T189" s="69"/>
      <c r="U189" s="96">
        <v>351.86</v>
      </c>
      <c r="V189" s="84">
        <f>E189*U189/1000</f>
        <v>17.804116</v>
      </c>
    </row>
    <row r="190" spans="2:22" s="26" customFormat="1" x14ac:dyDescent="0.2">
      <c r="B190" s="69"/>
      <c r="C190" s="155" t="s">
        <v>35</v>
      </c>
      <c r="D190" s="69">
        <v>8</v>
      </c>
      <c r="E190" s="69">
        <v>8</v>
      </c>
      <c r="F190" s="69">
        <v>0</v>
      </c>
      <c r="G190" s="69">
        <v>0</v>
      </c>
      <c r="H190" s="69">
        <v>0</v>
      </c>
      <c r="I190" s="69">
        <v>0</v>
      </c>
      <c r="J190" s="69">
        <v>0</v>
      </c>
      <c r="K190" s="69">
        <v>0</v>
      </c>
      <c r="L190" s="69">
        <v>0</v>
      </c>
      <c r="M190" s="69">
        <v>0</v>
      </c>
      <c r="N190" s="69">
        <v>0</v>
      </c>
      <c r="O190" s="69">
        <v>0</v>
      </c>
      <c r="P190" s="69">
        <v>0</v>
      </c>
      <c r="Q190" s="69">
        <v>0</v>
      </c>
      <c r="R190" s="69">
        <v>0</v>
      </c>
      <c r="S190" s="69">
        <v>0</v>
      </c>
      <c r="T190" s="69"/>
      <c r="U190" s="96">
        <v>0</v>
      </c>
      <c r="V190" s="84">
        <v>0</v>
      </c>
    </row>
    <row r="191" spans="2:22" s="26" customFormat="1" x14ac:dyDescent="0.2">
      <c r="B191" s="69"/>
      <c r="C191" s="155" t="s">
        <v>49</v>
      </c>
      <c r="D191" s="69">
        <v>6.6</v>
      </c>
      <c r="E191" s="69">
        <v>6.6</v>
      </c>
      <c r="F191" s="69">
        <v>0.5</v>
      </c>
      <c r="G191" s="69">
        <v>0.06</v>
      </c>
      <c r="H191" s="69">
        <v>4.7</v>
      </c>
      <c r="I191" s="69">
        <v>21.8</v>
      </c>
      <c r="J191" s="69">
        <v>3.6</v>
      </c>
      <c r="K191" s="69">
        <v>1.6</v>
      </c>
      <c r="L191" s="69">
        <v>1.4</v>
      </c>
      <c r="M191" s="69">
        <v>6.4</v>
      </c>
      <c r="N191" s="69">
        <v>0.11</v>
      </c>
      <c r="O191" s="69">
        <v>0</v>
      </c>
      <c r="P191" s="69">
        <v>0.05</v>
      </c>
      <c r="Q191" s="69">
        <v>0.02</v>
      </c>
      <c r="R191" s="69">
        <v>0.1</v>
      </c>
      <c r="S191" s="69">
        <v>0</v>
      </c>
      <c r="T191" s="69"/>
      <c r="U191" s="96">
        <v>56.43</v>
      </c>
      <c r="V191" s="84">
        <f>D191*U191/1000</f>
        <v>0.37243799999999999</v>
      </c>
    </row>
    <row r="192" spans="2:22" s="26" customFormat="1" x14ac:dyDescent="0.2">
      <c r="B192" s="69"/>
      <c r="C192" s="155" t="s">
        <v>33</v>
      </c>
      <c r="D192" s="69">
        <v>28</v>
      </c>
      <c r="E192" s="69">
        <v>24</v>
      </c>
      <c r="F192" s="69">
        <v>0.33</v>
      </c>
      <c r="G192" s="69">
        <v>0.05</v>
      </c>
      <c r="H192" s="69">
        <v>1.9</v>
      </c>
      <c r="I192" s="69">
        <v>9.8000000000000007</v>
      </c>
      <c r="J192" s="69">
        <v>42</v>
      </c>
      <c r="K192" s="85">
        <v>7.4</v>
      </c>
      <c r="L192" s="85">
        <v>3.4</v>
      </c>
      <c r="M192" s="85">
        <v>13.9</v>
      </c>
      <c r="N192" s="69">
        <v>0.2</v>
      </c>
      <c r="O192" s="69">
        <v>0</v>
      </c>
      <c r="P192" s="69">
        <v>0.01</v>
      </c>
      <c r="Q192" s="69">
        <v>0.04</v>
      </c>
      <c r="R192" s="69">
        <v>0.05</v>
      </c>
      <c r="S192" s="96">
        <v>2.4</v>
      </c>
      <c r="T192" s="69"/>
      <c r="U192" s="96">
        <v>29.62</v>
      </c>
      <c r="V192" s="84">
        <f>D192*U192/1000</f>
        <v>0.82935999999999999</v>
      </c>
    </row>
    <row r="193" spans="1:24" s="26" customFormat="1" ht="25.5" x14ac:dyDescent="0.2">
      <c r="B193" s="69"/>
      <c r="C193" s="155" t="s">
        <v>34</v>
      </c>
      <c r="D193" s="84">
        <v>10.6</v>
      </c>
      <c r="E193" s="84">
        <v>10.6</v>
      </c>
      <c r="F193" s="69">
        <v>0</v>
      </c>
      <c r="G193" s="69">
        <f>99.9*E193/100</f>
        <v>10.589400000000001</v>
      </c>
      <c r="H193" s="69">
        <f>0</f>
        <v>0</v>
      </c>
      <c r="I193" s="69">
        <f>899*E193/100</f>
        <v>95.293999999999997</v>
      </c>
      <c r="J193" s="86">
        <v>0</v>
      </c>
      <c r="K193" s="69">
        <v>0</v>
      </c>
      <c r="L193" s="69">
        <v>0</v>
      </c>
      <c r="M193" s="87">
        <v>0</v>
      </c>
      <c r="N193" s="69">
        <v>0</v>
      </c>
      <c r="O193" s="69">
        <v>0</v>
      </c>
      <c r="P193" s="69">
        <v>0</v>
      </c>
      <c r="Q193" s="69">
        <v>0</v>
      </c>
      <c r="R193" s="69">
        <v>0</v>
      </c>
      <c r="S193" s="69">
        <v>0</v>
      </c>
      <c r="T193" s="69"/>
      <c r="U193" s="96">
        <v>83.43</v>
      </c>
      <c r="V193" s="84">
        <f>D193*U193/1000</f>
        <v>0.88435800000000009</v>
      </c>
    </row>
    <row r="194" spans="1:24" s="26" customFormat="1" x14ac:dyDescent="0.2">
      <c r="B194" s="69"/>
      <c r="C194" s="155" t="s">
        <v>69</v>
      </c>
      <c r="D194" s="84">
        <v>5.3</v>
      </c>
      <c r="E194" s="84">
        <v>5.3</v>
      </c>
      <c r="F194" s="84">
        <v>0.5</v>
      </c>
      <c r="G194" s="84">
        <v>0.05</v>
      </c>
      <c r="H194" s="84">
        <v>3.6</v>
      </c>
      <c r="I194" s="84">
        <v>17.7</v>
      </c>
      <c r="J194" s="84">
        <v>9.3000000000000007</v>
      </c>
      <c r="K194" s="177">
        <v>1.3</v>
      </c>
      <c r="L194" s="84">
        <v>2.33</v>
      </c>
      <c r="M194" s="177">
        <v>6.09</v>
      </c>
      <c r="N194" s="84">
        <v>0.11</v>
      </c>
      <c r="O194" s="84">
        <v>0</v>
      </c>
      <c r="P194" s="69">
        <v>0.09</v>
      </c>
      <c r="Q194" s="69">
        <v>0.04</v>
      </c>
      <c r="R194" s="69">
        <v>0.06</v>
      </c>
      <c r="S194" s="69">
        <v>0</v>
      </c>
      <c r="T194" s="69"/>
      <c r="U194" s="96">
        <v>27.31</v>
      </c>
      <c r="V194" s="84">
        <f>D194*U194/1000</f>
        <v>0.14474299999999998</v>
      </c>
    </row>
    <row r="195" spans="1:24" s="26" customFormat="1" x14ac:dyDescent="0.2">
      <c r="B195" s="69"/>
      <c r="C195" s="155" t="s">
        <v>46</v>
      </c>
      <c r="D195" s="84">
        <v>3</v>
      </c>
      <c r="E195" s="84">
        <v>3</v>
      </c>
      <c r="F195" s="84">
        <v>0</v>
      </c>
      <c r="G195" s="84">
        <v>0</v>
      </c>
      <c r="H195" s="84">
        <v>0</v>
      </c>
      <c r="I195" s="84">
        <v>0</v>
      </c>
      <c r="J195" s="84">
        <v>0</v>
      </c>
      <c r="K195" s="177">
        <v>0</v>
      </c>
      <c r="L195" s="84">
        <v>0</v>
      </c>
      <c r="M195" s="177">
        <v>0</v>
      </c>
      <c r="N195" s="84">
        <v>0</v>
      </c>
      <c r="O195" s="84">
        <v>0</v>
      </c>
      <c r="P195" s="84">
        <v>0</v>
      </c>
      <c r="Q195" s="84">
        <v>0</v>
      </c>
      <c r="R195" s="84">
        <v>0</v>
      </c>
      <c r="S195" s="84">
        <v>0</v>
      </c>
      <c r="T195" s="69"/>
      <c r="U195" s="96">
        <v>11.63</v>
      </c>
      <c r="V195" s="84">
        <f>D195*U195/1000</f>
        <v>3.4889999999999997E-2</v>
      </c>
    </row>
    <row r="196" spans="1:24" s="67" customFormat="1" x14ac:dyDescent="0.2">
      <c r="A196" s="154"/>
      <c r="B196" s="144"/>
      <c r="C196" s="18" t="s">
        <v>77</v>
      </c>
      <c r="D196" s="21"/>
      <c r="E196" s="21"/>
      <c r="F196" s="21">
        <f>SUM(F189:F195)</f>
        <v>12.73</v>
      </c>
      <c r="G196" s="21">
        <f t="shared" ref="G196:S196" si="18">SUM(G189:G195)</f>
        <v>18.839400000000001</v>
      </c>
      <c r="H196" s="21">
        <f t="shared" si="18"/>
        <v>10.199999999999999</v>
      </c>
      <c r="I196" s="21">
        <f t="shared" si="18"/>
        <v>254.59399999999999</v>
      </c>
      <c r="J196" s="21">
        <f t="shared" si="18"/>
        <v>219.4</v>
      </c>
      <c r="K196" s="21">
        <f t="shared" si="18"/>
        <v>14.8</v>
      </c>
      <c r="L196" s="21">
        <f t="shared" si="18"/>
        <v>18.23</v>
      </c>
      <c r="M196" s="21">
        <f t="shared" si="18"/>
        <v>121.49000000000001</v>
      </c>
      <c r="N196" s="21">
        <f t="shared" si="18"/>
        <v>1.82</v>
      </c>
      <c r="O196" s="21">
        <f t="shared" si="18"/>
        <v>0</v>
      </c>
      <c r="P196" s="21">
        <f t="shared" si="18"/>
        <v>0.18</v>
      </c>
      <c r="Q196" s="21">
        <f t="shared" si="18"/>
        <v>0.2</v>
      </c>
      <c r="R196" s="21">
        <f t="shared" si="18"/>
        <v>2.5099999999999998</v>
      </c>
      <c r="S196" s="21">
        <f t="shared" si="18"/>
        <v>2.4</v>
      </c>
      <c r="T196" s="69"/>
      <c r="U196" s="96"/>
      <c r="V196" s="21">
        <f>SUM(V189:V195)</f>
        <v>20.069904999999999</v>
      </c>
      <c r="W196" s="154"/>
      <c r="X196" s="154"/>
    </row>
    <row r="197" spans="1:24" s="67" customFormat="1" x14ac:dyDescent="0.2">
      <c r="A197" s="154"/>
      <c r="B197" s="136" t="s">
        <v>98</v>
      </c>
      <c r="C197" s="71" t="s">
        <v>99</v>
      </c>
      <c r="D197" s="72"/>
      <c r="E197" s="73">
        <v>50</v>
      </c>
      <c r="F197" s="29"/>
      <c r="G197" s="74"/>
      <c r="H197" s="74"/>
      <c r="I197" s="74"/>
      <c r="J197" s="75"/>
      <c r="K197" s="74"/>
      <c r="L197" s="74"/>
      <c r="M197" s="75"/>
      <c r="N197" s="74"/>
      <c r="O197" s="74"/>
      <c r="P197" s="74"/>
      <c r="Q197" s="74"/>
      <c r="R197" s="74"/>
      <c r="S197" s="74"/>
      <c r="T197" s="69"/>
      <c r="U197" s="96"/>
      <c r="V197" s="84"/>
      <c r="W197" s="154"/>
      <c r="X197" s="154"/>
    </row>
    <row r="198" spans="1:24" s="26" customFormat="1" x14ac:dyDescent="0.2">
      <c r="B198" s="136"/>
      <c r="C198" s="30" t="s">
        <v>100</v>
      </c>
      <c r="D198" s="31">
        <v>50</v>
      </c>
      <c r="E198" s="31">
        <v>50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69"/>
      <c r="U198" s="96">
        <v>0</v>
      </c>
      <c r="V198" s="84">
        <v>0</v>
      </c>
    </row>
    <row r="199" spans="1:24" s="26" customFormat="1" ht="25.5" x14ac:dyDescent="0.2">
      <c r="B199" s="136"/>
      <c r="C199" s="30" t="s">
        <v>34</v>
      </c>
      <c r="D199" s="31">
        <v>2.5</v>
      </c>
      <c r="E199" s="31">
        <v>2.5</v>
      </c>
      <c r="F199" s="31">
        <v>0</v>
      </c>
      <c r="G199" s="31">
        <v>2.5</v>
      </c>
      <c r="H199" s="31">
        <v>0</v>
      </c>
      <c r="I199" s="31">
        <v>22.4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69"/>
      <c r="U199" s="96">
        <v>83.43</v>
      </c>
      <c r="V199" s="84">
        <f t="shared" ref="V199:V206" si="19">D199*U199/1000</f>
        <v>0.20857500000000001</v>
      </c>
    </row>
    <row r="200" spans="1:24" x14ac:dyDescent="0.2">
      <c r="B200" s="136"/>
      <c r="C200" s="30" t="s">
        <v>38</v>
      </c>
      <c r="D200" s="31">
        <v>2.5</v>
      </c>
      <c r="E200" s="31">
        <v>2.5</v>
      </c>
      <c r="F200" s="31">
        <v>0.3</v>
      </c>
      <c r="G200" s="31">
        <v>0</v>
      </c>
      <c r="H200" s="31">
        <v>1.7</v>
      </c>
      <c r="I200" s="31">
        <v>8.4</v>
      </c>
      <c r="J200" s="31">
        <v>4.4000000000000004</v>
      </c>
      <c r="K200" s="31">
        <v>0.6</v>
      </c>
      <c r="L200" s="31">
        <v>1.1000000000000001</v>
      </c>
      <c r="M200" s="31">
        <v>2.9</v>
      </c>
      <c r="N200" s="31">
        <v>0.05</v>
      </c>
      <c r="O200" s="31">
        <v>0</v>
      </c>
      <c r="P200" s="31">
        <v>0</v>
      </c>
      <c r="Q200" s="31">
        <v>0</v>
      </c>
      <c r="R200" s="31">
        <v>0.03</v>
      </c>
      <c r="S200" s="31">
        <v>0</v>
      </c>
      <c r="T200" s="69"/>
      <c r="U200" s="96">
        <v>27.31</v>
      </c>
      <c r="V200" s="84">
        <f t="shared" si="19"/>
        <v>6.8274999999999988E-2</v>
      </c>
    </row>
    <row r="201" spans="1:24" x14ac:dyDescent="0.2">
      <c r="A201" s="54"/>
      <c r="B201" s="136"/>
      <c r="C201" s="30" t="s">
        <v>36</v>
      </c>
      <c r="D201" s="31">
        <v>2</v>
      </c>
      <c r="E201" s="31">
        <v>2</v>
      </c>
      <c r="F201" s="31">
        <v>0.1</v>
      </c>
      <c r="G201" s="31">
        <v>0</v>
      </c>
      <c r="H201" s="31">
        <v>0.4</v>
      </c>
      <c r="I201" s="31">
        <v>2</v>
      </c>
      <c r="J201" s="31">
        <v>17.5</v>
      </c>
      <c r="K201" s="31">
        <v>0.4</v>
      </c>
      <c r="L201" s="31">
        <v>1</v>
      </c>
      <c r="M201" s="31">
        <v>1.36</v>
      </c>
      <c r="N201" s="31">
        <v>0.05</v>
      </c>
      <c r="O201" s="31">
        <v>0</v>
      </c>
      <c r="P201" s="31">
        <v>0</v>
      </c>
      <c r="Q201" s="31">
        <v>0</v>
      </c>
      <c r="R201" s="31">
        <v>0.04</v>
      </c>
      <c r="S201" s="31">
        <v>0.9</v>
      </c>
      <c r="T201" s="69"/>
      <c r="U201" s="96">
        <v>120</v>
      </c>
      <c r="V201" s="84">
        <f t="shared" si="19"/>
        <v>0.24</v>
      </c>
      <c r="W201" s="54"/>
    </row>
    <row r="202" spans="1:24" x14ac:dyDescent="0.2">
      <c r="A202" s="54"/>
      <c r="B202" s="136"/>
      <c r="C202" s="30" t="s">
        <v>32</v>
      </c>
      <c r="D202" s="31">
        <v>5</v>
      </c>
      <c r="E202" s="31">
        <v>4</v>
      </c>
      <c r="F202" s="31">
        <v>0.06</v>
      </c>
      <c r="G202" s="31">
        <v>0</v>
      </c>
      <c r="H202" s="31">
        <v>0.28000000000000003</v>
      </c>
      <c r="I202" s="31">
        <v>1.4</v>
      </c>
      <c r="J202" s="31">
        <v>8</v>
      </c>
      <c r="K202" s="31">
        <v>1</v>
      </c>
      <c r="L202" s="31">
        <v>1.5</v>
      </c>
      <c r="M202" s="31">
        <v>2.2000000000000002</v>
      </c>
      <c r="N202" s="31">
        <v>0</v>
      </c>
      <c r="O202" s="31">
        <v>0</v>
      </c>
      <c r="P202" s="31">
        <v>0</v>
      </c>
      <c r="Q202" s="31">
        <v>0</v>
      </c>
      <c r="R202" s="31">
        <v>0.04</v>
      </c>
      <c r="S202" s="31">
        <v>0.2</v>
      </c>
      <c r="T202" s="69"/>
      <c r="U202" s="96">
        <v>32.71</v>
      </c>
      <c r="V202" s="84">
        <f t="shared" si="19"/>
        <v>0.16355</v>
      </c>
      <c r="W202" s="54"/>
    </row>
    <row r="203" spans="1:24" x14ac:dyDescent="0.2">
      <c r="A203" s="54"/>
      <c r="B203" s="136"/>
      <c r="C203" s="30" t="s">
        <v>33</v>
      </c>
      <c r="D203" s="31">
        <v>1.2</v>
      </c>
      <c r="E203" s="31">
        <v>1</v>
      </c>
      <c r="F203" s="31">
        <v>0.01</v>
      </c>
      <c r="G203" s="31">
        <v>0</v>
      </c>
      <c r="H203" s="31">
        <v>0.08</v>
      </c>
      <c r="I203" s="31">
        <v>0.41</v>
      </c>
      <c r="J203" s="31">
        <v>1.75</v>
      </c>
      <c r="K203" s="31">
        <v>0.31</v>
      </c>
      <c r="L203" s="31">
        <v>0.14000000000000001</v>
      </c>
      <c r="M203" s="31">
        <v>0.57999999999999996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0.1</v>
      </c>
      <c r="T203" s="69"/>
      <c r="U203" s="96">
        <v>29.62</v>
      </c>
      <c r="V203" s="84">
        <f t="shared" si="19"/>
        <v>3.5543999999999999E-2</v>
      </c>
      <c r="W203" s="54"/>
    </row>
    <row r="204" spans="1:24" x14ac:dyDescent="0.2">
      <c r="A204" s="54"/>
      <c r="B204" s="136"/>
      <c r="C204" s="30" t="s">
        <v>30</v>
      </c>
      <c r="D204" s="31">
        <v>0.75</v>
      </c>
      <c r="E204" s="31">
        <v>0.75</v>
      </c>
      <c r="F204" s="31">
        <v>0</v>
      </c>
      <c r="G204" s="31">
        <v>0</v>
      </c>
      <c r="H204" s="31">
        <v>0.7</v>
      </c>
      <c r="I204" s="31">
        <v>2.8</v>
      </c>
      <c r="J204" s="31">
        <v>0.02</v>
      </c>
      <c r="K204" s="31">
        <v>0.01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69"/>
      <c r="U204" s="96">
        <v>50.97</v>
      </c>
      <c r="V204" s="84">
        <f t="shared" si="19"/>
        <v>3.8227499999999998E-2</v>
      </c>
      <c r="W204" s="54"/>
    </row>
    <row r="205" spans="1:24" x14ac:dyDescent="0.2">
      <c r="A205" s="54"/>
      <c r="B205" s="136"/>
      <c r="C205" s="30" t="s">
        <v>46</v>
      </c>
      <c r="D205" s="31">
        <v>0.5</v>
      </c>
      <c r="E205" s="31">
        <v>0.5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69"/>
      <c r="U205" s="96">
        <v>11.63</v>
      </c>
      <c r="V205" s="84">
        <f t="shared" si="19"/>
        <v>5.8150000000000007E-3</v>
      </c>
      <c r="W205" s="54"/>
    </row>
    <row r="206" spans="1:24" x14ac:dyDescent="0.2">
      <c r="A206" s="54"/>
      <c r="B206" s="136"/>
      <c r="C206" s="76" t="s">
        <v>39</v>
      </c>
      <c r="D206" s="34">
        <v>0.02</v>
      </c>
      <c r="E206" s="34">
        <v>0.02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v>0</v>
      </c>
      <c r="S206" s="34">
        <v>0</v>
      </c>
      <c r="T206" s="69"/>
      <c r="U206" s="96">
        <v>300</v>
      </c>
      <c r="V206" s="84">
        <f t="shared" si="19"/>
        <v>6.0000000000000001E-3</v>
      </c>
      <c r="W206" s="54"/>
    </row>
    <row r="207" spans="1:24" x14ac:dyDescent="0.2">
      <c r="A207" s="54"/>
      <c r="B207" s="136"/>
      <c r="C207" s="71" t="s">
        <v>77</v>
      </c>
      <c r="D207" s="79"/>
      <c r="E207" s="79"/>
      <c r="F207" s="79">
        <f>SUM(F198:F206)</f>
        <v>0.47000000000000003</v>
      </c>
      <c r="G207" s="79">
        <f t="shared" ref="G207:S207" si="20">SUM(G198:G206)</f>
        <v>2.5</v>
      </c>
      <c r="H207" s="79">
        <f t="shared" si="20"/>
        <v>3.16</v>
      </c>
      <c r="I207" s="79">
        <f t="shared" si="20"/>
        <v>37.409999999999989</v>
      </c>
      <c r="J207" s="79">
        <f t="shared" si="20"/>
        <v>31.669999999999998</v>
      </c>
      <c r="K207" s="79">
        <f t="shared" si="20"/>
        <v>2.3199999999999998</v>
      </c>
      <c r="L207" s="79">
        <f t="shared" si="20"/>
        <v>3.74</v>
      </c>
      <c r="M207" s="79">
        <f t="shared" si="20"/>
        <v>7.04</v>
      </c>
      <c r="N207" s="79">
        <f t="shared" si="20"/>
        <v>0.1</v>
      </c>
      <c r="O207" s="79">
        <f t="shared" si="20"/>
        <v>0</v>
      </c>
      <c r="P207" s="79">
        <f t="shared" si="20"/>
        <v>0</v>
      </c>
      <c r="Q207" s="79">
        <f t="shared" si="20"/>
        <v>0</v>
      </c>
      <c r="R207" s="79">
        <f t="shared" si="20"/>
        <v>0.11000000000000001</v>
      </c>
      <c r="S207" s="79">
        <f t="shared" si="20"/>
        <v>1.2000000000000002</v>
      </c>
      <c r="T207" s="69"/>
      <c r="U207" s="96"/>
      <c r="V207" s="21">
        <f>SUM(V198:V206)</f>
        <v>0.76598650000000001</v>
      </c>
      <c r="W207" s="54"/>
    </row>
    <row r="208" spans="1:24" ht="25.5" x14ac:dyDescent="0.2">
      <c r="A208" s="54"/>
      <c r="B208" s="31" t="s">
        <v>70</v>
      </c>
      <c r="C208" s="28" t="s">
        <v>71</v>
      </c>
      <c r="D208" s="31"/>
      <c r="E208" s="29">
        <v>150</v>
      </c>
      <c r="F208" s="29"/>
      <c r="G208" s="29"/>
      <c r="H208" s="59"/>
      <c r="I208" s="29"/>
      <c r="J208" s="59"/>
      <c r="K208" s="49"/>
      <c r="L208" s="29"/>
      <c r="M208" s="29"/>
      <c r="N208" s="29"/>
      <c r="O208" s="29"/>
      <c r="P208" s="29"/>
      <c r="Q208" s="29"/>
      <c r="R208" s="29"/>
      <c r="S208" s="29"/>
      <c r="T208" s="69"/>
      <c r="U208" s="96"/>
      <c r="V208" s="84"/>
      <c r="W208" s="54"/>
    </row>
    <row r="209" spans="1:23" x14ac:dyDescent="0.2">
      <c r="A209" s="54"/>
      <c r="B209" s="31"/>
      <c r="C209" s="30" t="s">
        <v>72</v>
      </c>
      <c r="D209" s="31">
        <v>50</v>
      </c>
      <c r="E209" s="31">
        <v>50</v>
      </c>
      <c r="F209" s="31">
        <v>6.3</v>
      </c>
      <c r="G209" s="31">
        <v>0.67</v>
      </c>
      <c r="H209" s="33">
        <v>42.5</v>
      </c>
      <c r="I209" s="31">
        <v>205.57</v>
      </c>
      <c r="J209" s="60">
        <v>75.64</v>
      </c>
      <c r="K209" s="60">
        <v>10.98</v>
      </c>
      <c r="L209" s="31">
        <v>9.76</v>
      </c>
      <c r="M209" s="31">
        <v>53</v>
      </c>
      <c r="N209" s="31">
        <v>0.73</v>
      </c>
      <c r="O209" s="31">
        <v>0</v>
      </c>
      <c r="P209" s="31">
        <v>0.1</v>
      </c>
      <c r="Q209" s="31">
        <v>0.04</v>
      </c>
      <c r="R209" s="31">
        <v>0.74</v>
      </c>
      <c r="S209" s="31">
        <v>0</v>
      </c>
      <c r="T209" s="69"/>
      <c r="U209" s="96">
        <v>44.89</v>
      </c>
      <c r="V209" s="84">
        <f>D209*U209/1000</f>
        <v>2.2444999999999999</v>
      </c>
      <c r="W209" s="54"/>
    </row>
    <row r="210" spans="1:23" x14ac:dyDescent="0.2">
      <c r="A210" s="54"/>
      <c r="B210" s="31"/>
      <c r="C210" s="30" t="s">
        <v>46</v>
      </c>
      <c r="D210" s="31">
        <v>1.6</v>
      </c>
      <c r="E210" s="31">
        <v>1.6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69"/>
      <c r="U210" s="96">
        <v>11.63</v>
      </c>
      <c r="V210" s="84">
        <f>D210*U210/1000</f>
        <v>1.8608E-2</v>
      </c>
      <c r="W210" s="54"/>
    </row>
    <row r="211" spans="1:23" x14ac:dyDescent="0.2">
      <c r="A211" s="54"/>
      <c r="B211" s="31"/>
      <c r="C211" s="30" t="s">
        <v>37</v>
      </c>
      <c r="D211" s="31">
        <v>5.3</v>
      </c>
      <c r="E211" s="31">
        <v>5.3</v>
      </c>
      <c r="F211" s="69">
        <f>0.8*E211/100</f>
        <v>4.24E-2</v>
      </c>
      <c r="G211" s="69">
        <f>72.5*E211/100</f>
        <v>3.8424999999999998</v>
      </c>
      <c r="H211" s="69">
        <f>1.3*E211/100</f>
        <v>6.8900000000000003E-2</v>
      </c>
      <c r="I211" s="69">
        <f>661*E211/100</f>
        <v>35.032999999999994</v>
      </c>
      <c r="J211" s="86">
        <f>23*E211/100</f>
        <v>1.2189999999999999</v>
      </c>
      <c r="K211" s="69">
        <f>22*E211/100</f>
        <v>1.1659999999999999</v>
      </c>
      <c r="L211" s="69">
        <f>3*E211/100</f>
        <v>0.15899999999999997</v>
      </c>
      <c r="M211" s="85">
        <f>19*E211/100</f>
        <v>1.0070000000000001</v>
      </c>
      <c r="N211" s="69">
        <f>0.2*E211/100</f>
        <v>1.06E-2</v>
      </c>
      <c r="O211" s="69">
        <f>0.5*E211/100</f>
        <v>2.6499999999999999E-2</v>
      </c>
      <c r="P211" s="69">
        <f>0</f>
        <v>0</v>
      </c>
      <c r="Q211" s="96">
        <f>0.01*E211/1000</f>
        <v>5.3000000000000001E-5</v>
      </c>
      <c r="R211" s="69">
        <f>0.1*E211/100</f>
        <v>5.3E-3</v>
      </c>
      <c r="S211" s="69">
        <f>0</f>
        <v>0</v>
      </c>
      <c r="T211" s="69"/>
      <c r="U211" s="96">
        <v>337.78</v>
      </c>
      <c r="V211" s="84">
        <f>D211*U211/1000</f>
        <v>1.7902339999999997</v>
      </c>
      <c r="W211" s="54"/>
    </row>
    <row r="212" spans="1:23" x14ac:dyDescent="0.2">
      <c r="A212" s="54"/>
      <c r="B212" s="125"/>
      <c r="C212" s="71" t="s">
        <v>77</v>
      </c>
      <c r="D212" s="79"/>
      <c r="E212" s="79"/>
      <c r="F212" s="79">
        <v>6.3423999999999996</v>
      </c>
      <c r="G212" s="79">
        <v>4.5125000000000002</v>
      </c>
      <c r="H212" s="79">
        <v>42.569000000000003</v>
      </c>
      <c r="I212" s="79">
        <v>240.6</v>
      </c>
      <c r="J212" s="79">
        <v>76.858999999999995</v>
      </c>
      <c r="K212" s="79">
        <v>12.146000000000001</v>
      </c>
      <c r="L212" s="79">
        <v>9.9190000000000005</v>
      </c>
      <c r="M212" s="79">
        <v>54.006999999999998</v>
      </c>
      <c r="N212" s="79">
        <v>0.74099999999999999</v>
      </c>
      <c r="O212" s="79">
        <v>0.03</v>
      </c>
      <c r="P212" s="79">
        <v>0.1</v>
      </c>
      <c r="Q212" s="79">
        <v>0.04</v>
      </c>
      <c r="R212" s="79">
        <v>0.745</v>
      </c>
      <c r="S212" s="79">
        <v>0</v>
      </c>
      <c r="T212" s="183"/>
      <c r="U212" s="21">
        <v>4.0529999999999999</v>
      </c>
      <c r="V212" s="21">
        <v>4.0529999999999999</v>
      </c>
      <c r="W212" s="54"/>
    </row>
    <row r="213" spans="1:23" x14ac:dyDescent="0.2">
      <c r="A213" s="54"/>
      <c r="B213" s="69" t="s">
        <v>73</v>
      </c>
      <c r="C213" s="19" t="s">
        <v>74</v>
      </c>
      <c r="D213" s="313" t="s">
        <v>75</v>
      </c>
      <c r="E213" s="316"/>
      <c r="F213" s="131"/>
      <c r="G213" s="131"/>
      <c r="H213" s="131"/>
      <c r="I213" s="131"/>
      <c r="J213" s="133"/>
      <c r="K213" s="131"/>
      <c r="L213" s="131"/>
      <c r="M213" s="133"/>
      <c r="N213" s="131"/>
      <c r="O213" s="131"/>
      <c r="P213" s="131"/>
      <c r="Q213" s="131"/>
      <c r="R213" s="134"/>
      <c r="S213" s="4"/>
      <c r="T213" s="168"/>
      <c r="U213" s="84"/>
      <c r="V213" s="84"/>
      <c r="W213" s="54"/>
    </row>
    <row r="214" spans="1:23" x14ac:dyDescent="0.2">
      <c r="A214" s="54"/>
      <c r="B214" s="144"/>
      <c r="C214" s="155" t="s">
        <v>40</v>
      </c>
      <c r="D214" s="178">
        <v>50</v>
      </c>
      <c r="E214" s="178">
        <v>50</v>
      </c>
      <c r="F214" s="157">
        <v>0.1</v>
      </c>
      <c r="G214" s="157">
        <v>0</v>
      </c>
      <c r="H214" s="157">
        <v>0</v>
      </c>
      <c r="I214" s="157">
        <v>0.8</v>
      </c>
      <c r="J214" s="158">
        <v>12.4</v>
      </c>
      <c r="K214" s="157">
        <v>2.5</v>
      </c>
      <c r="L214" s="157">
        <v>2.2000000000000002</v>
      </c>
      <c r="M214" s="158">
        <v>4.0999999999999996</v>
      </c>
      <c r="N214" s="157">
        <v>0.4</v>
      </c>
      <c r="O214" s="157">
        <v>0</v>
      </c>
      <c r="P214" s="157">
        <v>0</v>
      </c>
      <c r="Q214" s="157">
        <v>0</v>
      </c>
      <c r="R214" s="179">
        <v>0</v>
      </c>
      <c r="S214" s="144">
        <v>0</v>
      </c>
      <c r="T214" s="176">
        <v>539.16999999999996</v>
      </c>
      <c r="U214" s="157">
        <v>0.53900000000000003</v>
      </c>
      <c r="V214" s="157">
        <v>0.53900000000000003</v>
      </c>
      <c r="W214" s="54"/>
    </row>
    <row r="215" spans="1:23" x14ac:dyDescent="0.2">
      <c r="A215" s="54"/>
      <c r="B215" s="144"/>
      <c r="C215" s="155" t="s">
        <v>30</v>
      </c>
      <c r="D215" s="178">
        <v>15</v>
      </c>
      <c r="E215" s="178">
        <v>15</v>
      </c>
      <c r="F215" s="157">
        <v>0</v>
      </c>
      <c r="G215" s="157">
        <v>0</v>
      </c>
      <c r="H215" s="157">
        <v>15</v>
      </c>
      <c r="I215" s="157">
        <v>56.9</v>
      </c>
      <c r="J215" s="158">
        <v>0.5</v>
      </c>
      <c r="K215" s="157">
        <v>0.4</v>
      </c>
      <c r="L215" s="157">
        <v>0</v>
      </c>
      <c r="M215" s="158">
        <v>0</v>
      </c>
      <c r="N215" s="157">
        <v>0</v>
      </c>
      <c r="O215" s="157">
        <v>0</v>
      </c>
      <c r="P215" s="157">
        <v>0</v>
      </c>
      <c r="Q215" s="157">
        <v>0</v>
      </c>
      <c r="R215" s="179">
        <v>0</v>
      </c>
      <c r="S215" s="144">
        <v>0</v>
      </c>
      <c r="T215" s="176">
        <v>50.97</v>
      </c>
      <c r="U215" s="157">
        <v>0.76500000000000001</v>
      </c>
      <c r="V215" s="157">
        <v>0.76500000000000001</v>
      </c>
      <c r="W215" s="54"/>
    </row>
    <row r="216" spans="1:23" x14ac:dyDescent="0.2">
      <c r="A216" s="54"/>
      <c r="B216" s="144"/>
      <c r="C216" s="155" t="s">
        <v>35</v>
      </c>
      <c r="D216" s="178">
        <v>150</v>
      </c>
      <c r="E216" s="178">
        <v>150</v>
      </c>
      <c r="F216" s="157">
        <v>0</v>
      </c>
      <c r="G216" s="157">
        <v>0</v>
      </c>
      <c r="H216" s="157">
        <v>0</v>
      </c>
      <c r="I216" s="157">
        <v>0</v>
      </c>
      <c r="J216" s="157">
        <v>0</v>
      </c>
      <c r="K216" s="157">
        <v>0</v>
      </c>
      <c r="L216" s="157">
        <v>0</v>
      </c>
      <c r="M216" s="157">
        <v>0</v>
      </c>
      <c r="N216" s="157">
        <v>0</v>
      </c>
      <c r="O216" s="157">
        <v>0</v>
      </c>
      <c r="P216" s="157">
        <v>0</v>
      </c>
      <c r="Q216" s="157">
        <v>0</v>
      </c>
      <c r="R216" s="179">
        <v>0</v>
      </c>
      <c r="S216" s="144">
        <v>0</v>
      </c>
      <c r="T216" s="176">
        <v>0</v>
      </c>
      <c r="U216" s="157">
        <v>0</v>
      </c>
      <c r="V216" s="157">
        <v>0</v>
      </c>
      <c r="W216" s="54"/>
    </row>
    <row r="217" spans="1:23" x14ac:dyDescent="0.2">
      <c r="A217" s="54"/>
      <c r="B217" s="144"/>
      <c r="C217" s="163" t="s">
        <v>47</v>
      </c>
      <c r="D217" s="138"/>
      <c r="E217" s="138"/>
      <c r="F217" s="138">
        <v>0.1</v>
      </c>
      <c r="G217" s="138">
        <v>0</v>
      </c>
      <c r="H217" s="138">
        <v>15</v>
      </c>
      <c r="I217" s="138">
        <v>57.7</v>
      </c>
      <c r="J217" s="138">
        <v>12.9</v>
      </c>
      <c r="K217" s="138">
        <v>2.9</v>
      </c>
      <c r="L217" s="138">
        <v>2.2000000000000002</v>
      </c>
      <c r="M217" s="138">
        <v>4.12</v>
      </c>
      <c r="N217" s="138">
        <v>0.4</v>
      </c>
      <c r="O217" s="138">
        <v>0</v>
      </c>
      <c r="P217" s="138">
        <v>0</v>
      </c>
      <c r="Q217" s="138">
        <v>0</v>
      </c>
      <c r="R217" s="149">
        <v>0</v>
      </c>
      <c r="S217" s="57">
        <v>0</v>
      </c>
      <c r="T217" s="139"/>
      <c r="U217" s="138">
        <v>1.304</v>
      </c>
      <c r="V217" s="138">
        <v>1.304</v>
      </c>
      <c r="W217" s="54"/>
    </row>
    <row r="218" spans="1:23" ht="25.5" x14ac:dyDescent="0.2">
      <c r="A218" s="54"/>
      <c r="B218" s="69" t="s">
        <v>24</v>
      </c>
      <c r="C218" s="5" t="s">
        <v>105</v>
      </c>
      <c r="D218" s="3">
        <v>30</v>
      </c>
      <c r="E218" s="3">
        <v>30</v>
      </c>
      <c r="F218" s="69">
        <v>1.54</v>
      </c>
      <c r="G218" s="69">
        <v>0.6</v>
      </c>
      <c r="H218" s="69">
        <v>9.9600000000000009</v>
      </c>
      <c r="I218" s="69">
        <v>52.4</v>
      </c>
      <c r="J218" s="85">
        <v>25.4</v>
      </c>
      <c r="K218" s="69">
        <v>5.2</v>
      </c>
      <c r="L218" s="69">
        <v>7</v>
      </c>
      <c r="M218" s="85">
        <v>16.600000000000001</v>
      </c>
      <c r="N218" s="69">
        <v>0.32</v>
      </c>
      <c r="O218" s="69">
        <v>0</v>
      </c>
      <c r="P218" s="69">
        <v>3.2000000000000001E-2</v>
      </c>
      <c r="Q218" s="69">
        <v>1.6E-2</v>
      </c>
      <c r="R218" s="69">
        <v>0.308</v>
      </c>
      <c r="S218" s="69">
        <v>0</v>
      </c>
      <c r="T218" s="3">
        <v>29.29</v>
      </c>
      <c r="U218" s="32">
        <v>0.58584000000000003</v>
      </c>
      <c r="V218" s="32">
        <v>0.58584000000000003</v>
      </c>
      <c r="W218" s="54"/>
    </row>
    <row r="219" spans="1:23" x14ac:dyDescent="0.2">
      <c r="A219" s="54"/>
      <c r="B219" s="69"/>
      <c r="C219" s="3" t="s">
        <v>164</v>
      </c>
      <c r="D219" s="197"/>
      <c r="E219" s="198"/>
      <c r="F219" s="4">
        <v>30.7408</v>
      </c>
      <c r="G219" s="4">
        <v>29.9346</v>
      </c>
      <c r="H219" s="4">
        <v>82.557100000000005</v>
      </c>
      <c r="I219" s="4">
        <v>699.10580000000004</v>
      </c>
      <c r="J219" s="11">
        <v>2155.17</v>
      </c>
      <c r="K219" s="4">
        <v>181.37</v>
      </c>
      <c r="L219" s="4">
        <v>225.82300000000001</v>
      </c>
      <c r="M219" s="11">
        <v>651.62760000000003</v>
      </c>
      <c r="N219" s="4">
        <v>5.8186999999999998</v>
      </c>
      <c r="O219" s="4">
        <v>2.9773999999999998</v>
      </c>
      <c r="P219" s="4">
        <v>0.65668000000000004</v>
      </c>
      <c r="Q219" s="4">
        <v>0.46314</v>
      </c>
      <c r="R219" s="51">
        <v>6.1501000000000001</v>
      </c>
      <c r="S219" s="4">
        <v>41.7408</v>
      </c>
      <c r="T219" s="69"/>
      <c r="U219" s="32">
        <v>28.36</v>
      </c>
      <c r="V219" s="32">
        <v>28.36</v>
      </c>
      <c r="W219" s="54"/>
    </row>
    <row r="220" spans="1:23" x14ac:dyDescent="0.2">
      <c r="A220" s="54"/>
      <c r="B220" s="69"/>
      <c r="C220" s="196" t="s">
        <v>63</v>
      </c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70"/>
      <c r="S220" s="69"/>
      <c r="T220" s="69"/>
      <c r="U220" s="96"/>
      <c r="V220" s="84"/>
      <c r="W220" s="54"/>
    </row>
    <row r="221" spans="1:23" x14ac:dyDescent="0.2">
      <c r="A221" s="54"/>
      <c r="B221" s="69"/>
      <c r="C221" s="196" t="s">
        <v>163</v>
      </c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70"/>
      <c r="S221" s="69"/>
      <c r="T221" s="69"/>
      <c r="U221" s="96"/>
      <c r="V221" s="84"/>
      <c r="W221" s="54"/>
    </row>
    <row r="222" spans="1:23" x14ac:dyDescent="0.2">
      <c r="B222" s="69" t="s">
        <v>51</v>
      </c>
      <c r="C222" s="3" t="s">
        <v>52</v>
      </c>
      <c r="D222" s="313">
        <v>225</v>
      </c>
      <c r="E222" s="314"/>
      <c r="F222" s="3"/>
      <c r="G222" s="3"/>
      <c r="H222" s="3"/>
      <c r="I222" s="3"/>
      <c r="J222" s="3"/>
      <c r="K222" s="7"/>
      <c r="L222" s="3"/>
      <c r="M222" s="3"/>
      <c r="N222" s="3"/>
      <c r="O222" s="3"/>
      <c r="P222" s="3"/>
      <c r="Q222" s="3"/>
      <c r="R222" s="50"/>
      <c r="S222" s="3"/>
      <c r="T222" s="3"/>
      <c r="U222" s="32"/>
      <c r="V222" s="21"/>
    </row>
    <row r="223" spans="1:23" x14ac:dyDescent="0.2">
      <c r="B223" s="69"/>
      <c r="C223" s="69" t="s">
        <v>44</v>
      </c>
      <c r="D223" s="159">
        <v>144</v>
      </c>
      <c r="E223" s="159">
        <v>107</v>
      </c>
      <c r="F223" s="69">
        <v>18.7</v>
      </c>
      <c r="G223" s="69">
        <v>16.100000000000001</v>
      </c>
      <c r="H223" s="69">
        <v>0</v>
      </c>
      <c r="I223" s="69">
        <v>220</v>
      </c>
      <c r="J223" s="69">
        <v>236</v>
      </c>
      <c r="K223" s="85">
        <v>14</v>
      </c>
      <c r="L223" s="69">
        <v>19</v>
      </c>
      <c r="M223" s="69">
        <v>160</v>
      </c>
      <c r="N223" s="69">
        <v>1.3</v>
      </c>
      <c r="O223" s="69">
        <v>0.04</v>
      </c>
      <c r="P223" s="69">
        <v>0.09</v>
      </c>
      <c r="Q223" s="69">
        <v>0.15</v>
      </c>
      <c r="R223" s="70">
        <v>6.1</v>
      </c>
      <c r="S223" s="69">
        <v>2</v>
      </c>
      <c r="T223" s="69"/>
      <c r="U223" s="96">
        <v>141.57</v>
      </c>
      <c r="V223" s="84">
        <f t="shared" ref="V223:V229" si="21">D223*U223/1000</f>
        <v>20.38608</v>
      </c>
    </row>
    <row r="224" spans="1:23" ht="25.5" x14ac:dyDescent="0.2">
      <c r="B224" s="69"/>
      <c r="C224" s="65" t="s">
        <v>34</v>
      </c>
      <c r="D224" s="159">
        <v>9.8000000000000007</v>
      </c>
      <c r="E224" s="159">
        <v>9.8000000000000007</v>
      </c>
      <c r="F224" s="69">
        <v>0</v>
      </c>
      <c r="G224" s="69">
        <v>10.5</v>
      </c>
      <c r="H224" s="69">
        <v>0</v>
      </c>
      <c r="I224" s="69">
        <v>94.4</v>
      </c>
      <c r="J224" s="69">
        <v>0</v>
      </c>
      <c r="K224" s="69">
        <v>0</v>
      </c>
      <c r="L224" s="69">
        <v>0</v>
      </c>
      <c r="M224" s="69">
        <v>0</v>
      </c>
      <c r="N224" s="69">
        <v>0</v>
      </c>
      <c r="O224" s="69">
        <v>0</v>
      </c>
      <c r="P224" s="69">
        <v>0</v>
      </c>
      <c r="Q224" s="69">
        <v>0</v>
      </c>
      <c r="R224" s="70">
        <v>0</v>
      </c>
      <c r="S224" s="69">
        <v>0</v>
      </c>
      <c r="T224" s="69"/>
      <c r="U224" s="96">
        <v>83.43</v>
      </c>
      <c r="V224" s="84">
        <f t="shared" si="21"/>
        <v>0.81761400000000017</v>
      </c>
    </row>
    <row r="225" spans="1:22" x14ac:dyDescent="0.2">
      <c r="B225" s="69"/>
      <c r="C225" s="69" t="s">
        <v>32</v>
      </c>
      <c r="D225" s="159">
        <v>14</v>
      </c>
      <c r="E225" s="159">
        <v>11.2</v>
      </c>
      <c r="F225" s="69">
        <v>0.16</v>
      </c>
      <c r="G225" s="69">
        <v>0</v>
      </c>
      <c r="H225" s="69">
        <v>0.83</v>
      </c>
      <c r="I225" s="69">
        <v>4.2</v>
      </c>
      <c r="J225" s="69">
        <v>24</v>
      </c>
      <c r="K225" s="69">
        <v>3.2</v>
      </c>
      <c r="L225" s="69">
        <v>4.5599999999999996</v>
      </c>
      <c r="M225" s="69">
        <v>6.6</v>
      </c>
      <c r="N225" s="69">
        <v>0.08</v>
      </c>
      <c r="O225" s="69">
        <v>0</v>
      </c>
      <c r="P225" s="69">
        <v>0</v>
      </c>
      <c r="Q225" s="69">
        <v>0</v>
      </c>
      <c r="R225" s="70">
        <v>0.12</v>
      </c>
      <c r="S225" s="69">
        <v>0.6</v>
      </c>
      <c r="T225" s="69"/>
      <c r="U225" s="96">
        <v>32.71</v>
      </c>
      <c r="V225" s="84">
        <f t="shared" si="21"/>
        <v>0.45794000000000001</v>
      </c>
    </row>
    <row r="226" spans="1:22" x14ac:dyDescent="0.2">
      <c r="B226" s="69"/>
      <c r="C226" s="69" t="s">
        <v>36</v>
      </c>
      <c r="D226" s="159">
        <v>3</v>
      </c>
      <c r="E226" s="159">
        <v>3</v>
      </c>
      <c r="F226" s="69">
        <v>0.17</v>
      </c>
      <c r="G226" s="69">
        <v>0</v>
      </c>
      <c r="H226" s="85">
        <v>0.8</v>
      </c>
      <c r="I226" s="85">
        <v>3.7</v>
      </c>
      <c r="J226" s="69">
        <v>31.5</v>
      </c>
      <c r="K226" s="69">
        <v>0.72</v>
      </c>
      <c r="L226" s="69">
        <v>1.8</v>
      </c>
      <c r="M226" s="69">
        <v>2.4</v>
      </c>
      <c r="N226" s="69">
        <v>0</v>
      </c>
      <c r="O226" s="69">
        <v>0</v>
      </c>
      <c r="P226" s="69">
        <v>0</v>
      </c>
      <c r="Q226" s="69">
        <v>0</v>
      </c>
      <c r="R226" s="70">
        <v>0</v>
      </c>
      <c r="S226" s="69">
        <v>1.6</v>
      </c>
      <c r="T226" s="69"/>
      <c r="U226" s="96">
        <v>120</v>
      </c>
      <c r="V226" s="84">
        <f t="shared" si="21"/>
        <v>0.36</v>
      </c>
    </row>
    <row r="227" spans="1:22" x14ac:dyDescent="0.2">
      <c r="B227" s="69"/>
      <c r="C227" s="69" t="s">
        <v>33</v>
      </c>
      <c r="D227" s="159">
        <v>12</v>
      </c>
      <c r="E227" s="159">
        <v>9.8000000000000007</v>
      </c>
      <c r="F227" s="69">
        <v>0.15</v>
      </c>
      <c r="G227" s="69">
        <v>0</v>
      </c>
      <c r="H227" s="69">
        <v>0.85</v>
      </c>
      <c r="I227" s="69">
        <v>4.2</v>
      </c>
      <c r="J227" s="69">
        <v>17.600000000000001</v>
      </c>
      <c r="K227" s="69">
        <v>3.1</v>
      </c>
      <c r="L227" s="69">
        <v>1.4</v>
      </c>
      <c r="M227" s="69">
        <v>5.8</v>
      </c>
      <c r="N227" s="69">
        <v>0</v>
      </c>
      <c r="O227" s="69">
        <v>0</v>
      </c>
      <c r="P227" s="69">
        <v>0</v>
      </c>
      <c r="Q227" s="69">
        <v>0</v>
      </c>
      <c r="R227" s="70">
        <v>0.02</v>
      </c>
      <c r="S227" s="69">
        <v>1</v>
      </c>
      <c r="T227" s="69"/>
      <c r="U227" s="96">
        <v>29.62</v>
      </c>
      <c r="V227" s="84">
        <f t="shared" si="21"/>
        <v>0.35543999999999998</v>
      </c>
    </row>
    <row r="228" spans="1:22" x14ac:dyDescent="0.2">
      <c r="B228" s="69"/>
      <c r="C228" s="69" t="s">
        <v>49</v>
      </c>
      <c r="D228" s="159">
        <v>49</v>
      </c>
      <c r="E228" s="159">
        <v>49</v>
      </c>
      <c r="F228" s="69">
        <v>3.68</v>
      </c>
      <c r="G228" s="69">
        <v>0.53</v>
      </c>
      <c r="H228" s="69">
        <v>37.5</v>
      </c>
      <c r="I228" s="69">
        <v>173.25</v>
      </c>
      <c r="J228" s="69">
        <v>28.35</v>
      </c>
      <c r="K228" s="85">
        <v>12.6</v>
      </c>
      <c r="L228" s="69">
        <v>11</v>
      </c>
      <c r="M228" s="69">
        <v>50.93</v>
      </c>
      <c r="N228" s="69">
        <v>0.85</v>
      </c>
      <c r="O228" s="69">
        <v>0</v>
      </c>
      <c r="P228" s="69">
        <v>0.04</v>
      </c>
      <c r="Q228" s="69">
        <v>0.02</v>
      </c>
      <c r="R228" s="70">
        <v>0.84</v>
      </c>
      <c r="S228" s="69">
        <v>0</v>
      </c>
      <c r="T228" s="69"/>
      <c r="U228" s="96">
        <v>56.43</v>
      </c>
      <c r="V228" s="84">
        <f t="shared" si="21"/>
        <v>2.7650700000000001</v>
      </c>
    </row>
    <row r="229" spans="1:22" x14ac:dyDescent="0.2">
      <c r="B229" s="69"/>
      <c r="C229" s="69" t="s">
        <v>46</v>
      </c>
      <c r="D229" s="159">
        <v>2</v>
      </c>
      <c r="E229" s="159">
        <v>2</v>
      </c>
      <c r="F229" s="69">
        <v>0</v>
      </c>
      <c r="G229" s="69">
        <v>0</v>
      </c>
      <c r="H229" s="69">
        <v>0</v>
      </c>
      <c r="I229" s="69">
        <v>0</v>
      </c>
      <c r="J229" s="69">
        <v>0</v>
      </c>
      <c r="K229" s="69">
        <v>0</v>
      </c>
      <c r="L229" s="69">
        <v>0</v>
      </c>
      <c r="M229" s="69">
        <v>0</v>
      </c>
      <c r="N229" s="69">
        <v>0</v>
      </c>
      <c r="O229" s="69">
        <v>0</v>
      </c>
      <c r="P229" s="69">
        <v>0</v>
      </c>
      <c r="Q229" s="69">
        <v>0</v>
      </c>
      <c r="R229" s="70">
        <v>0</v>
      </c>
      <c r="S229" s="69">
        <v>0</v>
      </c>
      <c r="T229" s="69"/>
      <c r="U229" s="96">
        <v>11.63</v>
      </c>
      <c r="V229" s="84">
        <f t="shared" si="21"/>
        <v>2.3260000000000003E-2</v>
      </c>
    </row>
    <row r="230" spans="1:22" x14ac:dyDescent="0.2">
      <c r="A230" s="26"/>
      <c r="B230" s="69"/>
      <c r="C230" s="39" t="s">
        <v>47</v>
      </c>
      <c r="D230" s="3"/>
      <c r="E230" s="3"/>
      <c r="F230" s="3">
        <f>SUM(F223:F229)</f>
        <v>22.86</v>
      </c>
      <c r="G230" s="3">
        <f t="shared" ref="G230:S230" si="22">SUM(G223:G229)</f>
        <v>27.130000000000003</v>
      </c>
      <c r="H230" s="3">
        <f t="shared" si="22"/>
        <v>39.979999999999997</v>
      </c>
      <c r="I230" s="3">
        <f t="shared" si="22"/>
        <v>499.74999999999994</v>
      </c>
      <c r="J230" s="3">
        <f t="shared" si="22"/>
        <v>337.45000000000005</v>
      </c>
      <c r="K230" s="3">
        <f t="shared" si="22"/>
        <v>33.619999999999997</v>
      </c>
      <c r="L230" s="3">
        <f t="shared" si="22"/>
        <v>37.76</v>
      </c>
      <c r="M230" s="3">
        <f t="shared" si="22"/>
        <v>225.73000000000002</v>
      </c>
      <c r="N230" s="3">
        <f t="shared" si="22"/>
        <v>2.23</v>
      </c>
      <c r="O230" s="3">
        <f t="shared" si="22"/>
        <v>0.04</v>
      </c>
      <c r="P230" s="3">
        <f t="shared" si="22"/>
        <v>0.13</v>
      </c>
      <c r="Q230" s="3">
        <f t="shared" si="22"/>
        <v>0.16999999999999998</v>
      </c>
      <c r="R230" s="50">
        <f t="shared" si="22"/>
        <v>7.0799999999999992</v>
      </c>
      <c r="S230" s="3">
        <f t="shared" si="22"/>
        <v>5.2</v>
      </c>
      <c r="T230" s="69"/>
      <c r="U230" s="96"/>
      <c r="V230" s="21">
        <f>SUM(V223:V229)</f>
        <v>25.165404000000002</v>
      </c>
    </row>
    <row r="231" spans="1:22" x14ac:dyDescent="0.2">
      <c r="A231" s="26"/>
      <c r="B231" s="69" t="s">
        <v>73</v>
      </c>
      <c r="C231" s="19" t="s">
        <v>74</v>
      </c>
      <c r="D231" s="313" t="s">
        <v>75</v>
      </c>
      <c r="E231" s="316"/>
      <c r="F231" s="131"/>
      <c r="G231" s="131"/>
      <c r="H231" s="131"/>
      <c r="I231" s="131"/>
      <c r="J231" s="133"/>
      <c r="K231" s="131"/>
      <c r="L231" s="131"/>
      <c r="M231" s="133"/>
      <c r="N231" s="131"/>
      <c r="O231" s="131"/>
      <c r="P231" s="131"/>
      <c r="Q231" s="131"/>
      <c r="R231" s="134"/>
      <c r="S231" s="4"/>
      <c r="T231" s="168"/>
      <c r="U231" s="84"/>
      <c r="V231" s="84"/>
    </row>
    <row r="232" spans="1:22" x14ac:dyDescent="0.2">
      <c r="A232" s="26"/>
      <c r="B232" s="144"/>
      <c r="C232" s="155" t="s">
        <v>40</v>
      </c>
      <c r="D232" s="178">
        <v>50</v>
      </c>
      <c r="E232" s="178">
        <v>50</v>
      </c>
      <c r="F232" s="157">
        <v>0.1</v>
      </c>
      <c r="G232" s="157">
        <v>0</v>
      </c>
      <c r="H232" s="157">
        <v>0</v>
      </c>
      <c r="I232" s="157">
        <v>0.8</v>
      </c>
      <c r="J232" s="158">
        <v>12.4</v>
      </c>
      <c r="K232" s="157">
        <v>2.5</v>
      </c>
      <c r="L232" s="157">
        <v>2.2000000000000002</v>
      </c>
      <c r="M232" s="158">
        <v>4.0999999999999996</v>
      </c>
      <c r="N232" s="157">
        <v>0.4</v>
      </c>
      <c r="O232" s="157">
        <v>0</v>
      </c>
      <c r="P232" s="157">
        <v>0</v>
      </c>
      <c r="Q232" s="157">
        <v>0</v>
      </c>
      <c r="R232" s="179">
        <v>0</v>
      </c>
      <c r="S232" s="144">
        <v>0</v>
      </c>
      <c r="T232" s="176">
        <v>539.16999999999996</v>
      </c>
      <c r="U232" s="157">
        <v>0.53900000000000003</v>
      </c>
      <c r="V232" s="157">
        <v>0.53900000000000003</v>
      </c>
    </row>
    <row r="233" spans="1:22" x14ac:dyDescent="0.2">
      <c r="A233" s="26"/>
      <c r="B233" s="144"/>
      <c r="C233" s="155" t="s">
        <v>30</v>
      </c>
      <c r="D233" s="178">
        <v>15</v>
      </c>
      <c r="E233" s="178">
        <v>15</v>
      </c>
      <c r="F233" s="157">
        <v>0</v>
      </c>
      <c r="G233" s="157">
        <v>0</v>
      </c>
      <c r="H233" s="157">
        <v>15</v>
      </c>
      <c r="I233" s="157">
        <v>56.9</v>
      </c>
      <c r="J233" s="158">
        <v>0.5</v>
      </c>
      <c r="K233" s="157">
        <v>0.4</v>
      </c>
      <c r="L233" s="157">
        <v>0</v>
      </c>
      <c r="M233" s="158">
        <v>0</v>
      </c>
      <c r="N233" s="157">
        <v>0</v>
      </c>
      <c r="O233" s="157">
        <v>0</v>
      </c>
      <c r="P233" s="157">
        <v>0</v>
      </c>
      <c r="Q233" s="157">
        <v>0</v>
      </c>
      <c r="R233" s="179">
        <v>0</v>
      </c>
      <c r="S233" s="144">
        <v>0</v>
      </c>
      <c r="T233" s="176">
        <v>50.97</v>
      </c>
      <c r="U233" s="157">
        <v>0.76500000000000001</v>
      </c>
      <c r="V233" s="157">
        <v>0.76500000000000001</v>
      </c>
    </row>
    <row r="234" spans="1:22" x14ac:dyDescent="0.2">
      <c r="A234" s="26"/>
      <c r="B234" s="144"/>
      <c r="C234" s="155" t="s">
        <v>35</v>
      </c>
      <c r="D234" s="178">
        <v>150</v>
      </c>
      <c r="E234" s="178">
        <v>150</v>
      </c>
      <c r="F234" s="157">
        <v>0</v>
      </c>
      <c r="G234" s="157">
        <v>0</v>
      </c>
      <c r="H234" s="157">
        <v>0</v>
      </c>
      <c r="I234" s="157">
        <v>0</v>
      </c>
      <c r="J234" s="157">
        <v>0</v>
      </c>
      <c r="K234" s="157">
        <v>0</v>
      </c>
      <c r="L234" s="157">
        <v>0</v>
      </c>
      <c r="M234" s="157">
        <v>0</v>
      </c>
      <c r="N234" s="157">
        <v>0</v>
      </c>
      <c r="O234" s="157">
        <v>0</v>
      </c>
      <c r="P234" s="157">
        <v>0</v>
      </c>
      <c r="Q234" s="157">
        <v>0</v>
      </c>
      <c r="R234" s="179">
        <v>0</v>
      </c>
      <c r="S234" s="144">
        <v>0</v>
      </c>
      <c r="T234" s="176">
        <v>0</v>
      </c>
      <c r="U234" s="157">
        <v>0</v>
      </c>
      <c r="V234" s="157">
        <v>0</v>
      </c>
    </row>
    <row r="235" spans="1:22" x14ac:dyDescent="0.2">
      <c r="A235" s="26"/>
      <c r="B235" s="144"/>
      <c r="C235" s="163" t="s">
        <v>47</v>
      </c>
      <c r="D235" s="138"/>
      <c r="E235" s="138"/>
      <c r="F235" s="138">
        <v>0.1</v>
      </c>
      <c r="G235" s="138">
        <v>0</v>
      </c>
      <c r="H235" s="138">
        <v>15</v>
      </c>
      <c r="I235" s="138">
        <v>57.7</v>
      </c>
      <c r="J235" s="138">
        <v>12.9</v>
      </c>
      <c r="K235" s="138">
        <v>2.9</v>
      </c>
      <c r="L235" s="138">
        <v>2.2000000000000002</v>
      </c>
      <c r="M235" s="138">
        <v>4.12</v>
      </c>
      <c r="N235" s="138">
        <v>0.4</v>
      </c>
      <c r="O235" s="138">
        <v>0</v>
      </c>
      <c r="P235" s="138">
        <v>0</v>
      </c>
      <c r="Q235" s="138">
        <v>0</v>
      </c>
      <c r="R235" s="149">
        <v>0</v>
      </c>
      <c r="S235" s="57">
        <v>0</v>
      </c>
      <c r="T235" s="139"/>
      <c r="U235" s="138">
        <v>1.304</v>
      </c>
      <c r="V235" s="138">
        <v>1.304</v>
      </c>
    </row>
    <row r="236" spans="1:22" x14ac:dyDescent="0.2">
      <c r="A236" s="26"/>
      <c r="B236" s="69" t="s">
        <v>24</v>
      </c>
      <c r="C236" s="3" t="s">
        <v>105</v>
      </c>
      <c r="D236" s="3">
        <v>30</v>
      </c>
      <c r="E236" s="21">
        <v>30</v>
      </c>
      <c r="F236" s="3">
        <v>1.54</v>
      </c>
      <c r="G236" s="3">
        <v>0.6</v>
      </c>
      <c r="H236" s="3">
        <v>9.9600000000000009</v>
      </c>
      <c r="I236" s="3">
        <v>52.4</v>
      </c>
      <c r="J236" s="3">
        <v>25.4</v>
      </c>
      <c r="K236" s="3">
        <v>5.2</v>
      </c>
      <c r="L236" s="3">
        <v>7</v>
      </c>
      <c r="M236" s="3">
        <v>16.600000000000001</v>
      </c>
      <c r="N236" s="3">
        <v>0.32</v>
      </c>
      <c r="O236" s="3">
        <v>0</v>
      </c>
      <c r="P236" s="3">
        <v>3.2000000000000001E-2</v>
      </c>
      <c r="Q236" s="3">
        <v>1.6E-2</v>
      </c>
      <c r="R236" s="50">
        <v>0.308</v>
      </c>
      <c r="S236" s="3">
        <v>0</v>
      </c>
      <c r="T236" s="3">
        <v>29.29</v>
      </c>
      <c r="U236" s="32">
        <v>0.58584000000000003</v>
      </c>
      <c r="V236" s="32">
        <v>0.58584000000000003</v>
      </c>
    </row>
    <row r="237" spans="1:22" x14ac:dyDescent="0.2">
      <c r="A237" s="26"/>
      <c r="B237" s="69"/>
      <c r="C237" s="3" t="s">
        <v>164</v>
      </c>
      <c r="D237" s="69"/>
      <c r="E237" s="69"/>
      <c r="F237" s="69">
        <v>30.944849999999999</v>
      </c>
      <c r="G237" s="69">
        <v>30.7454</v>
      </c>
      <c r="H237" s="69">
        <v>111.6503</v>
      </c>
      <c r="I237" s="69">
        <v>774.44399999999996</v>
      </c>
      <c r="J237" s="69">
        <v>578.322</v>
      </c>
      <c r="K237" s="69">
        <v>78.557000000000002</v>
      </c>
      <c r="L237" s="69">
        <v>87.147000000000006</v>
      </c>
      <c r="M237" s="69">
        <v>221.18950000000001</v>
      </c>
      <c r="N237" s="69">
        <v>10.61295</v>
      </c>
      <c r="O237" s="69">
        <v>6.0689299999999999</v>
      </c>
      <c r="P237" s="69">
        <v>6.3124349999999998</v>
      </c>
      <c r="Q237" s="69">
        <v>6.2156500000000001</v>
      </c>
      <c r="R237" s="70">
        <v>12.089169999999999</v>
      </c>
      <c r="S237" s="69">
        <v>24.803999999999998</v>
      </c>
      <c r="T237" s="69"/>
      <c r="U237" s="96">
        <v>23.9</v>
      </c>
      <c r="V237" s="96">
        <v>23.9</v>
      </c>
    </row>
    <row r="238" spans="1:22" x14ac:dyDescent="0.2">
      <c r="A238" s="26"/>
      <c r="B238" s="69"/>
      <c r="C238" s="196" t="s">
        <v>64</v>
      </c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70"/>
      <c r="S238" s="69"/>
      <c r="T238" s="69"/>
      <c r="U238" s="96"/>
      <c r="V238" s="84"/>
    </row>
    <row r="239" spans="1:22" x14ac:dyDescent="0.2">
      <c r="A239" s="26"/>
      <c r="B239" s="69"/>
      <c r="C239" s="196" t="s">
        <v>163</v>
      </c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70"/>
      <c r="S239" s="69"/>
      <c r="T239" s="69"/>
      <c r="U239" s="96"/>
      <c r="V239" s="84"/>
    </row>
    <row r="240" spans="1:22" x14ac:dyDescent="0.2">
      <c r="A240" s="26"/>
      <c r="B240" s="3" t="s">
        <v>115</v>
      </c>
      <c r="C240" s="145" t="s">
        <v>116</v>
      </c>
      <c r="D240" s="313" t="s">
        <v>117</v>
      </c>
      <c r="E240" s="314"/>
      <c r="F240" s="131"/>
      <c r="G240" s="131"/>
      <c r="H240" s="131"/>
      <c r="I240" s="131"/>
      <c r="J240" s="132"/>
      <c r="K240" s="131"/>
      <c r="L240" s="131"/>
      <c r="M240" s="132"/>
      <c r="N240" s="131"/>
      <c r="O240" s="131"/>
      <c r="P240" s="131"/>
      <c r="Q240" s="131"/>
      <c r="R240" s="131"/>
      <c r="S240" s="131"/>
      <c r="T240" s="69"/>
      <c r="U240" s="96"/>
      <c r="V240" s="84"/>
    </row>
    <row r="241" spans="2:22" x14ac:dyDescent="0.2">
      <c r="B241" s="57"/>
      <c r="C241" s="181" t="s">
        <v>44</v>
      </c>
      <c r="D241" s="178">
        <v>153.6</v>
      </c>
      <c r="E241" s="178">
        <v>108.8</v>
      </c>
      <c r="F241" s="157">
        <v>25.4</v>
      </c>
      <c r="G241" s="157">
        <v>21.9</v>
      </c>
      <c r="H241" s="157">
        <v>0</v>
      </c>
      <c r="I241" s="157">
        <v>299.2</v>
      </c>
      <c r="J241" s="175">
        <v>326</v>
      </c>
      <c r="K241" s="157">
        <v>27.2</v>
      </c>
      <c r="L241" s="157">
        <v>43.5</v>
      </c>
      <c r="M241" s="158">
        <v>405</v>
      </c>
      <c r="N241" s="157">
        <v>4.0999999999999996</v>
      </c>
      <c r="O241" s="157">
        <v>0.09</v>
      </c>
      <c r="P241" s="157">
        <v>0.09</v>
      </c>
      <c r="Q241" s="157">
        <v>0.19</v>
      </c>
      <c r="R241" s="157">
        <v>4.9000000000000004</v>
      </c>
      <c r="S241" s="157">
        <v>0</v>
      </c>
      <c r="T241" s="69"/>
      <c r="U241" s="157">
        <v>0</v>
      </c>
      <c r="V241" s="157">
        <v>0</v>
      </c>
    </row>
    <row r="242" spans="2:22" x14ac:dyDescent="0.2">
      <c r="B242" s="57"/>
      <c r="C242" s="182" t="s">
        <v>34</v>
      </c>
      <c r="D242" s="178">
        <v>8</v>
      </c>
      <c r="E242" s="178">
        <v>8</v>
      </c>
      <c r="F242" s="157">
        <v>0</v>
      </c>
      <c r="G242" s="157">
        <v>12</v>
      </c>
      <c r="H242" s="157">
        <v>0</v>
      </c>
      <c r="I242" s="157">
        <v>108</v>
      </c>
      <c r="J242" s="175">
        <v>0</v>
      </c>
      <c r="K242" s="157">
        <v>0</v>
      </c>
      <c r="L242" s="157">
        <v>0</v>
      </c>
      <c r="M242" s="158">
        <v>0</v>
      </c>
      <c r="N242" s="157">
        <v>0</v>
      </c>
      <c r="O242" s="157">
        <v>0</v>
      </c>
      <c r="P242" s="157">
        <v>0</v>
      </c>
      <c r="Q242" s="157">
        <v>0</v>
      </c>
      <c r="R242" s="157">
        <v>0</v>
      </c>
      <c r="S242" s="157">
        <v>0</v>
      </c>
      <c r="T242" s="69"/>
      <c r="U242" s="157">
        <v>0</v>
      </c>
      <c r="V242" s="157">
        <v>0</v>
      </c>
    </row>
    <row r="243" spans="2:22" x14ac:dyDescent="0.2">
      <c r="B243" s="57"/>
      <c r="C243" s="181" t="s">
        <v>31</v>
      </c>
      <c r="D243" s="178">
        <v>128.4</v>
      </c>
      <c r="E243" s="178">
        <v>96</v>
      </c>
      <c r="F243" s="157">
        <v>3.2</v>
      </c>
      <c r="G243" s="157">
        <v>0.6</v>
      </c>
      <c r="H243" s="157">
        <v>26.2</v>
      </c>
      <c r="I243" s="157">
        <v>123.2</v>
      </c>
      <c r="J243" s="175">
        <v>909</v>
      </c>
      <c r="K243" s="157">
        <v>16</v>
      </c>
      <c r="L243" s="157">
        <v>36.799999999999997</v>
      </c>
      <c r="M243" s="158">
        <v>92.8</v>
      </c>
      <c r="N243" s="157">
        <v>1.44</v>
      </c>
      <c r="O243" s="157">
        <v>0.03</v>
      </c>
      <c r="P243" s="157">
        <v>0.19</v>
      </c>
      <c r="Q243" s="157">
        <v>0.08</v>
      </c>
      <c r="R243" s="157">
        <v>1.44</v>
      </c>
      <c r="S243" s="157">
        <v>32</v>
      </c>
      <c r="T243" s="69"/>
      <c r="U243" s="157">
        <v>32</v>
      </c>
      <c r="V243" s="157">
        <v>32</v>
      </c>
    </row>
    <row r="244" spans="2:22" x14ac:dyDescent="0.2">
      <c r="B244" s="57"/>
      <c r="C244" s="181" t="s">
        <v>32</v>
      </c>
      <c r="D244" s="178">
        <v>25</v>
      </c>
      <c r="E244" s="178">
        <v>20.399999999999999</v>
      </c>
      <c r="F244" s="157">
        <v>0.4</v>
      </c>
      <c r="G244" s="157">
        <v>0</v>
      </c>
      <c r="H244" s="157">
        <v>2.2999999999999998</v>
      </c>
      <c r="I244" s="157">
        <v>11.9</v>
      </c>
      <c r="J244" s="175">
        <v>68</v>
      </c>
      <c r="K244" s="157">
        <v>17.3</v>
      </c>
      <c r="L244" s="157">
        <v>13</v>
      </c>
      <c r="M244" s="158">
        <v>18.7</v>
      </c>
      <c r="N244" s="157">
        <v>0.4</v>
      </c>
      <c r="O244" s="157">
        <v>3.1</v>
      </c>
      <c r="P244" s="157">
        <v>0.02</v>
      </c>
      <c r="Q244" s="157">
        <v>0.02</v>
      </c>
      <c r="R244" s="157">
        <v>0.34</v>
      </c>
      <c r="S244" s="157">
        <v>1.7</v>
      </c>
      <c r="T244" s="69"/>
      <c r="U244" s="157">
        <v>1.7</v>
      </c>
      <c r="V244" s="157">
        <v>1.7</v>
      </c>
    </row>
    <row r="245" spans="2:22" x14ac:dyDescent="0.2">
      <c r="B245" s="57"/>
      <c r="C245" s="181" t="s">
        <v>36</v>
      </c>
      <c r="D245" s="178">
        <v>3</v>
      </c>
      <c r="E245" s="178">
        <v>3</v>
      </c>
      <c r="F245" s="157">
        <v>0.2</v>
      </c>
      <c r="G245" s="157">
        <v>0</v>
      </c>
      <c r="H245" s="157">
        <v>1</v>
      </c>
      <c r="I245" s="157">
        <v>5.0999999999999996</v>
      </c>
      <c r="J245" s="175">
        <v>42</v>
      </c>
      <c r="K245" s="157">
        <v>3.7</v>
      </c>
      <c r="L245" s="157">
        <v>1.4</v>
      </c>
      <c r="M245" s="158">
        <v>3.3</v>
      </c>
      <c r="N245" s="157">
        <v>0.1</v>
      </c>
      <c r="O245" s="157">
        <v>0.1</v>
      </c>
      <c r="P245" s="157">
        <v>0</v>
      </c>
      <c r="Q245" s="157">
        <v>0</v>
      </c>
      <c r="R245" s="157">
        <v>0.04</v>
      </c>
      <c r="S245" s="157">
        <v>2.16</v>
      </c>
      <c r="T245" s="69"/>
      <c r="U245" s="157">
        <v>2.16</v>
      </c>
      <c r="V245" s="157">
        <v>2.16</v>
      </c>
    </row>
    <row r="246" spans="2:22" x14ac:dyDescent="0.2">
      <c r="B246" s="144"/>
      <c r="C246" s="181" t="s">
        <v>33</v>
      </c>
      <c r="D246" s="178">
        <v>14.4</v>
      </c>
      <c r="E246" s="178">
        <v>12</v>
      </c>
      <c r="F246" s="157">
        <v>0.3</v>
      </c>
      <c r="G246" s="157">
        <v>0</v>
      </c>
      <c r="H246" s="157">
        <v>1.6</v>
      </c>
      <c r="I246" s="157">
        <v>8.1999999999999993</v>
      </c>
      <c r="J246" s="175">
        <v>35</v>
      </c>
      <c r="K246" s="157">
        <v>6.2</v>
      </c>
      <c r="L246" s="157">
        <v>2.8</v>
      </c>
      <c r="M246" s="158">
        <v>11.6</v>
      </c>
      <c r="N246" s="157">
        <v>0.16</v>
      </c>
      <c r="O246" s="157">
        <v>0</v>
      </c>
      <c r="P246" s="157">
        <v>0.01</v>
      </c>
      <c r="Q246" s="157">
        <v>0.01</v>
      </c>
      <c r="R246" s="157">
        <v>0.04</v>
      </c>
      <c r="S246" s="157">
        <v>2</v>
      </c>
      <c r="T246" s="69"/>
      <c r="U246" s="157">
        <v>2</v>
      </c>
      <c r="V246" s="157">
        <v>2</v>
      </c>
    </row>
    <row r="247" spans="2:22" x14ac:dyDescent="0.2">
      <c r="B247" s="57"/>
      <c r="C247" s="181" t="s">
        <v>38</v>
      </c>
      <c r="D247" s="178">
        <v>1</v>
      </c>
      <c r="E247" s="178">
        <v>1</v>
      </c>
      <c r="F247" s="157">
        <v>0.2</v>
      </c>
      <c r="G247" s="157">
        <v>0</v>
      </c>
      <c r="H247" s="157">
        <v>1.4</v>
      </c>
      <c r="I247" s="157">
        <v>6.7</v>
      </c>
      <c r="J247" s="175">
        <v>4</v>
      </c>
      <c r="K247" s="157">
        <v>0.5</v>
      </c>
      <c r="L247" s="157">
        <v>0.9</v>
      </c>
      <c r="M247" s="158">
        <v>2.2999999999999998</v>
      </c>
      <c r="N247" s="157">
        <v>0.04</v>
      </c>
      <c r="O247" s="157">
        <v>0</v>
      </c>
      <c r="P247" s="157">
        <v>0</v>
      </c>
      <c r="Q247" s="157">
        <v>0</v>
      </c>
      <c r="R247" s="157">
        <v>0.02</v>
      </c>
      <c r="S247" s="157">
        <v>0</v>
      </c>
      <c r="T247" s="69"/>
      <c r="U247" s="157">
        <v>0</v>
      </c>
      <c r="V247" s="157">
        <v>0</v>
      </c>
    </row>
    <row r="248" spans="2:22" x14ac:dyDescent="0.2">
      <c r="B248" s="57"/>
      <c r="C248" s="181" t="s">
        <v>46</v>
      </c>
      <c r="D248" s="178">
        <v>2</v>
      </c>
      <c r="E248" s="178">
        <v>2</v>
      </c>
      <c r="F248" s="157">
        <v>0</v>
      </c>
      <c r="G248" s="157">
        <v>0</v>
      </c>
      <c r="H248" s="157">
        <v>0</v>
      </c>
      <c r="I248" s="157">
        <v>0</v>
      </c>
      <c r="J248" s="157">
        <v>0</v>
      </c>
      <c r="K248" s="157">
        <v>0</v>
      </c>
      <c r="L248" s="157">
        <v>0</v>
      </c>
      <c r="M248" s="157">
        <v>0</v>
      </c>
      <c r="N248" s="157">
        <v>0</v>
      </c>
      <c r="O248" s="157">
        <v>0</v>
      </c>
      <c r="P248" s="157">
        <v>0</v>
      </c>
      <c r="Q248" s="157">
        <v>0</v>
      </c>
      <c r="R248" s="157">
        <v>0</v>
      </c>
      <c r="S248" s="157">
        <v>0</v>
      </c>
      <c r="T248" s="69"/>
      <c r="U248" s="157">
        <v>0</v>
      </c>
      <c r="V248" s="157">
        <v>0</v>
      </c>
    </row>
    <row r="249" spans="2:22" x14ac:dyDescent="0.2">
      <c r="B249" s="57"/>
      <c r="C249" s="18" t="s">
        <v>47</v>
      </c>
      <c r="D249" s="138"/>
      <c r="E249" s="138"/>
      <c r="F249" s="138">
        <v>29.7</v>
      </c>
      <c r="G249" s="138">
        <v>34.5</v>
      </c>
      <c r="H249" s="138">
        <v>32.5</v>
      </c>
      <c r="I249" s="138">
        <v>562.29999999999995</v>
      </c>
      <c r="J249" s="138">
        <v>1384</v>
      </c>
      <c r="K249" s="138">
        <v>70.900000000000006</v>
      </c>
      <c r="L249" s="138">
        <v>98.4</v>
      </c>
      <c r="M249" s="138">
        <v>533.70000000000005</v>
      </c>
      <c r="N249" s="138">
        <v>6.24</v>
      </c>
      <c r="O249" s="138">
        <v>3.32</v>
      </c>
      <c r="P249" s="138">
        <v>0.31</v>
      </c>
      <c r="Q249" s="138">
        <v>0.3</v>
      </c>
      <c r="R249" s="138">
        <v>6.78</v>
      </c>
      <c r="S249" s="138">
        <v>37.86</v>
      </c>
      <c r="T249" s="69"/>
      <c r="U249" s="138">
        <v>37.86</v>
      </c>
      <c r="V249" s="138">
        <v>37.86</v>
      </c>
    </row>
    <row r="250" spans="2:22" x14ac:dyDescent="0.2">
      <c r="B250" s="69" t="s">
        <v>73</v>
      </c>
      <c r="C250" s="19" t="s">
        <v>74</v>
      </c>
      <c r="D250" s="313" t="s">
        <v>75</v>
      </c>
      <c r="E250" s="316"/>
      <c r="F250" s="131"/>
      <c r="G250" s="131"/>
      <c r="H250" s="131"/>
      <c r="I250" s="131"/>
      <c r="J250" s="133"/>
      <c r="K250" s="131"/>
      <c r="L250" s="131"/>
      <c r="M250" s="133"/>
      <c r="N250" s="131"/>
      <c r="O250" s="131"/>
      <c r="P250" s="131"/>
      <c r="Q250" s="131"/>
      <c r="R250" s="134"/>
      <c r="S250" s="4"/>
      <c r="T250" s="168"/>
      <c r="U250" s="84"/>
      <c r="V250" s="21"/>
    </row>
    <row r="251" spans="2:22" x14ac:dyDescent="0.2">
      <c r="B251" s="144"/>
      <c r="C251" s="155" t="s">
        <v>40</v>
      </c>
      <c r="D251" s="178">
        <v>50</v>
      </c>
      <c r="E251" s="178">
        <v>50</v>
      </c>
      <c r="F251" s="157">
        <v>0.1</v>
      </c>
      <c r="G251" s="157">
        <v>0</v>
      </c>
      <c r="H251" s="157">
        <v>0</v>
      </c>
      <c r="I251" s="157">
        <v>0.8</v>
      </c>
      <c r="J251" s="158">
        <v>12.4</v>
      </c>
      <c r="K251" s="157">
        <v>2.5</v>
      </c>
      <c r="L251" s="157">
        <v>2.2000000000000002</v>
      </c>
      <c r="M251" s="158">
        <v>4.0999999999999996</v>
      </c>
      <c r="N251" s="157">
        <v>0.4</v>
      </c>
      <c r="O251" s="157">
        <v>0</v>
      </c>
      <c r="P251" s="157">
        <v>0</v>
      </c>
      <c r="Q251" s="157">
        <v>0</v>
      </c>
      <c r="R251" s="179">
        <v>0</v>
      </c>
      <c r="S251" s="144">
        <v>0</v>
      </c>
      <c r="T251" s="176">
        <v>539.16999999999996</v>
      </c>
      <c r="U251" s="157">
        <v>0.53900000000000003</v>
      </c>
      <c r="V251" s="157">
        <v>0.53900000000000003</v>
      </c>
    </row>
    <row r="252" spans="2:22" x14ac:dyDescent="0.2">
      <c r="B252" s="144"/>
      <c r="C252" s="155" t="s">
        <v>30</v>
      </c>
      <c r="D252" s="178">
        <v>15</v>
      </c>
      <c r="E252" s="178">
        <v>15</v>
      </c>
      <c r="F252" s="157">
        <v>0</v>
      </c>
      <c r="G252" s="157">
        <v>0</v>
      </c>
      <c r="H252" s="157">
        <v>15</v>
      </c>
      <c r="I252" s="157">
        <v>56.9</v>
      </c>
      <c r="J252" s="158">
        <v>0.5</v>
      </c>
      <c r="K252" s="157">
        <v>0.4</v>
      </c>
      <c r="L252" s="157">
        <v>0</v>
      </c>
      <c r="M252" s="158">
        <v>0</v>
      </c>
      <c r="N252" s="157">
        <v>0</v>
      </c>
      <c r="O252" s="157">
        <v>0</v>
      </c>
      <c r="P252" s="157">
        <v>0</v>
      </c>
      <c r="Q252" s="157">
        <v>0</v>
      </c>
      <c r="R252" s="179">
        <v>0</v>
      </c>
      <c r="S252" s="144">
        <v>0</v>
      </c>
      <c r="T252" s="176">
        <v>50.97</v>
      </c>
      <c r="U252" s="157">
        <v>0.76500000000000001</v>
      </c>
      <c r="V252" s="157">
        <v>0.76500000000000001</v>
      </c>
    </row>
    <row r="253" spans="2:22" x14ac:dyDescent="0.2">
      <c r="B253" s="144"/>
      <c r="C253" s="155" t="s">
        <v>35</v>
      </c>
      <c r="D253" s="178">
        <v>150</v>
      </c>
      <c r="E253" s="178">
        <v>150</v>
      </c>
      <c r="F253" s="157">
        <v>0</v>
      </c>
      <c r="G253" s="157">
        <v>0</v>
      </c>
      <c r="H253" s="157">
        <v>0</v>
      </c>
      <c r="I253" s="157">
        <v>0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57">
        <v>0</v>
      </c>
      <c r="P253" s="157">
        <v>0</v>
      </c>
      <c r="Q253" s="157">
        <v>0</v>
      </c>
      <c r="R253" s="179">
        <v>0</v>
      </c>
      <c r="S253" s="144">
        <v>0</v>
      </c>
      <c r="T253" s="176">
        <v>0</v>
      </c>
      <c r="U253" s="157">
        <v>0</v>
      </c>
      <c r="V253" s="157">
        <v>0</v>
      </c>
    </row>
    <row r="254" spans="2:22" x14ac:dyDescent="0.2">
      <c r="B254" s="144"/>
      <c r="C254" s="163" t="s">
        <v>47</v>
      </c>
      <c r="D254" s="138"/>
      <c r="E254" s="138"/>
      <c r="F254" s="138">
        <v>0.1</v>
      </c>
      <c r="G254" s="138">
        <v>0</v>
      </c>
      <c r="H254" s="138">
        <v>15</v>
      </c>
      <c r="I254" s="138">
        <v>57.7</v>
      </c>
      <c r="J254" s="138">
        <v>12.9</v>
      </c>
      <c r="K254" s="138">
        <v>2.9</v>
      </c>
      <c r="L254" s="138">
        <v>2.2000000000000002</v>
      </c>
      <c r="M254" s="138">
        <v>4.12</v>
      </c>
      <c r="N254" s="138">
        <v>0.4</v>
      </c>
      <c r="O254" s="138">
        <v>0</v>
      </c>
      <c r="P254" s="138">
        <v>0</v>
      </c>
      <c r="Q254" s="138">
        <v>0</v>
      </c>
      <c r="R254" s="149">
        <v>0</v>
      </c>
      <c r="S254" s="57">
        <v>0</v>
      </c>
      <c r="T254" s="139"/>
      <c r="U254" s="138">
        <v>1.304</v>
      </c>
      <c r="V254" s="138">
        <v>1.304</v>
      </c>
    </row>
    <row r="255" spans="2:22" ht="25.5" x14ac:dyDescent="0.2">
      <c r="B255" s="31" t="s">
        <v>24</v>
      </c>
      <c r="C255" s="28" t="s">
        <v>105</v>
      </c>
      <c r="D255" s="31">
        <v>30</v>
      </c>
      <c r="E255" s="29">
        <v>30</v>
      </c>
      <c r="F255" s="29">
        <v>1.54</v>
      </c>
      <c r="G255" s="29">
        <v>0.6</v>
      </c>
      <c r="H255" s="59">
        <v>9.9600000000000009</v>
      </c>
      <c r="I255" s="29">
        <v>52.4</v>
      </c>
      <c r="J255" s="59">
        <v>25.4</v>
      </c>
      <c r="K255" s="49">
        <v>5.2</v>
      </c>
      <c r="L255" s="29">
        <v>7</v>
      </c>
      <c r="M255" s="29">
        <v>16.600000000000001</v>
      </c>
      <c r="N255" s="29">
        <v>0.32</v>
      </c>
      <c r="O255" s="29">
        <v>0</v>
      </c>
      <c r="P255" s="29">
        <v>3.2000000000000001E-2</v>
      </c>
      <c r="Q255" s="29">
        <v>1.6E-2</v>
      </c>
      <c r="R255" s="29">
        <v>0.308</v>
      </c>
      <c r="S255" s="29">
        <v>0</v>
      </c>
      <c r="T255" s="69">
        <v>29.29</v>
      </c>
      <c r="U255" s="96">
        <v>0.58584000000000003</v>
      </c>
      <c r="V255" s="96">
        <v>0.58584000000000003</v>
      </c>
    </row>
    <row r="256" spans="2:22" x14ac:dyDescent="0.2">
      <c r="B256" s="31"/>
      <c r="C256" s="3" t="s">
        <v>164</v>
      </c>
      <c r="D256" s="31"/>
      <c r="E256" s="31"/>
      <c r="F256" s="31">
        <v>33.542149999999999</v>
      </c>
      <c r="G256" s="31">
        <v>30.952400000000001</v>
      </c>
      <c r="H256" s="31">
        <v>90.170900000000003</v>
      </c>
      <c r="I256" s="31">
        <v>790.57799999999997</v>
      </c>
      <c r="J256" s="31">
        <v>654.61</v>
      </c>
      <c r="K256" s="31">
        <v>58.325000000000003</v>
      </c>
      <c r="L256" s="31">
        <v>63.677999999999997</v>
      </c>
      <c r="M256" s="31">
        <v>251.84049999999999</v>
      </c>
      <c r="N256" s="31">
        <v>7.0629499999999998</v>
      </c>
      <c r="O256" s="31">
        <v>9.0690000000000007E-2</v>
      </c>
      <c r="P256" s="31">
        <v>0.44761499999999999</v>
      </c>
      <c r="Q256" s="31">
        <v>0.30335000000000001</v>
      </c>
      <c r="R256" s="31">
        <v>9.1470500000000001</v>
      </c>
      <c r="S256" s="31">
        <v>30.981999999999999</v>
      </c>
      <c r="T256" s="69"/>
      <c r="U256" s="32">
        <v>36.369999999999997</v>
      </c>
      <c r="V256" s="32">
        <v>36.369999999999997</v>
      </c>
    </row>
    <row r="257" spans="2:22" x14ac:dyDescent="0.2">
      <c r="B257" s="169"/>
      <c r="C257" s="3" t="s">
        <v>164</v>
      </c>
      <c r="D257" s="21"/>
      <c r="E257" s="21"/>
      <c r="F257" s="21">
        <v>21.952000000000002</v>
      </c>
      <c r="G257" s="21">
        <v>26.751999999999999</v>
      </c>
      <c r="H257" s="21">
        <v>85.869</v>
      </c>
      <c r="I257" s="21">
        <v>668.91</v>
      </c>
      <c r="J257" s="21">
        <v>378.92899999999997</v>
      </c>
      <c r="K257" s="21">
        <v>39.966000000000001</v>
      </c>
      <c r="L257" s="21">
        <v>44.588999999999999</v>
      </c>
      <c r="M257" s="21">
        <v>211.56</v>
      </c>
      <c r="N257" s="21">
        <v>3.5409999999999999</v>
      </c>
      <c r="O257" s="21">
        <v>0.03</v>
      </c>
      <c r="P257" s="21">
        <v>0.32800000000000001</v>
      </c>
      <c r="Q257" s="21">
        <v>0.26400000000000001</v>
      </c>
      <c r="R257" s="21">
        <v>3.827</v>
      </c>
      <c r="S257" s="21">
        <v>3.6</v>
      </c>
      <c r="T257" s="147"/>
      <c r="U257" s="52"/>
      <c r="V257" s="52">
        <v>27.15</v>
      </c>
    </row>
    <row r="258" spans="2:22" x14ac:dyDescent="0.2">
      <c r="B258" s="69"/>
      <c r="C258" s="148" t="s">
        <v>65</v>
      </c>
      <c r="D258" s="138"/>
      <c r="E258" s="138"/>
      <c r="F258" s="140">
        <v>230.4</v>
      </c>
      <c r="G258" s="140">
        <v>216.5</v>
      </c>
      <c r="H258" s="140">
        <v>706.6</v>
      </c>
      <c r="I258" s="140">
        <v>5722.6</v>
      </c>
      <c r="J258" s="140">
        <v>6476.8</v>
      </c>
      <c r="K258" s="140">
        <v>789</v>
      </c>
      <c r="L258" s="140">
        <v>649</v>
      </c>
      <c r="M258" s="140">
        <v>2739.1</v>
      </c>
      <c r="N258" s="140">
        <v>34.299999999999997</v>
      </c>
      <c r="O258" s="140">
        <v>3.4</v>
      </c>
      <c r="P258" s="140">
        <v>1.6</v>
      </c>
      <c r="Q258" s="140">
        <v>2</v>
      </c>
      <c r="R258" s="140">
        <v>40.4</v>
      </c>
      <c r="S258" s="140">
        <v>197.6</v>
      </c>
      <c r="T258" s="139"/>
      <c r="U258" s="140"/>
      <c r="V258" s="140">
        <v>298.2</v>
      </c>
    </row>
    <row r="259" spans="2:22" x14ac:dyDescent="0.2">
      <c r="B259" s="69"/>
      <c r="C259" s="148" t="s">
        <v>66</v>
      </c>
      <c r="D259" s="138"/>
      <c r="E259" s="138"/>
      <c r="F259" s="138">
        <v>23.042000000000002</v>
      </c>
      <c r="G259" s="138">
        <v>21.65</v>
      </c>
      <c r="H259" s="138">
        <v>70.66</v>
      </c>
      <c r="I259" s="138">
        <v>572.26</v>
      </c>
      <c r="J259" s="138">
        <v>647.6848</v>
      </c>
      <c r="K259" s="138">
        <v>78.897900000000007</v>
      </c>
      <c r="L259" s="138">
        <v>64.903999999999996</v>
      </c>
      <c r="M259" s="138">
        <v>273.91000000000003</v>
      </c>
      <c r="N259" s="138">
        <v>3.431</v>
      </c>
      <c r="O259" s="138">
        <v>0.34</v>
      </c>
      <c r="P259" s="138">
        <v>0.158</v>
      </c>
      <c r="Q259" s="138">
        <v>0.20399999999999999</v>
      </c>
      <c r="R259" s="149">
        <v>4.04</v>
      </c>
      <c r="S259" s="150">
        <v>19.760000000000002</v>
      </c>
      <c r="T259" s="151"/>
      <c r="U259" s="152"/>
      <c r="V259" s="152">
        <v>29.82</v>
      </c>
    </row>
    <row r="260" spans="2:22" x14ac:dyDescent="0.2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70"/>
      <c r="S260" s="69"/>
      <c r="T260" s="69"/>
      <c r="U260" s="96"/>
      <c r="V260" s="69"/>
    </row>
    <row r="261" spans="2:22" x14ac:dyDescent="0.2">
      <c r="R261" s="54"/>
      <c r="S261" s="54"/>
      <c r="T261" s="54"/>
      <c r="U261" s="97"/>
      <c r="V261" s="54"/>
    </row>
    <row r="262" spans="2:22" ht="12" customHeight="1" x14ac:dyDescent="0.2">
      <c r="R262" s="54"/>
      <c r="S262" s="54"/>
      <c r="T262" s="54"/>
      <c r="U262" s="97"/>
      <c r="V262" s="54"/>
    </row>
    <row r="263" spans="2:22" hidden="1" x14ac:dyDescent="0.2">
      <c r="R263" s="54"/>
      <c r="S263" s="54"/>
      <c r="T263" s="54"/>
      <c r="U263" s="97"/>
      <c r="V263" s="54"/>
    </row>
    <row r="264" spans="2:22" hidden="1" x14ac:dyDescent="0.2">
      <c r="R264" s="54"/>
      <c r="S264" s="54"/>
      <c r="T264" s="54"/>
      <c r="U264" s="97"/>
      <c r="V264" s="54"/>
    </row>
    <row r="265" spans="2:22" hidden="1" x14ac:dyDescent="0.2">
      <c r="R265" s="54"/>
      <c r="S265" s="54"/>
      <c r="T265" s="54"/>
      <c r="U265" s="97"/>
      <c r="V265" s="54"/>
    </row>
    <row r="266" spans="2:22" hidden="1" x14ac:dyDescent="0.2">
      <c r="R266" s="54"/>
      <c r="S266" s="54"/>
      <c r="T266" s="54"/>
      <c r="U266" s="97"/>
      <c r="V266" s="54"/>
    </row>
    <row r="267" spans="2:22" hidden="1" x14ac:dyDescent="0.2">
      <c r="R267" s="54"/>
      <c r="S267" s="54"/>
      <c r="T267" s="54"/>
      <c r="U267" s="97"/>
      <c r="V267" s="54"/>
    </row>
    <row r="268" spans="2:22" hidden="1" x14ac:dyDescent="0.2">
      <c r="R268" s="54"/>
      <c r="S268" s="54"/>
      <c r="T268" s="54"/>
      <c r="U268" s="97"/>
      <c r="V268" s="54"/>
    </row>
    <row r="269" spans="2:22" hidden="1" x14ac:dyDescent="0.2">
      <c r="R269" s="54"/>
      <c r="S269" s="54"/>
      <c r="T269" s="54"/>
      <c r="U269" s="97"/>
      <c r="V269" s="54"/>
    </row>
    <row r="270" spans="2:22" hidden="1" x14ac:dyDescent="0.2">
      <c r="R270" s="54"/>
      <c r="S270" s="54"/>
      <c r="T270" s="54"/>
      <c r="U270" s="97"/>
      <c r="V270" s="54"/>
    </row>
    <row r="271" spans="2:22" hidden="1" x14ac:dyDescent="0.2">
      <c r="R271" s="54"/>
      <c r="S271" s="54"/>
      <c r="T271" s="54"/>
      <c r="U271" s="97"/>
      <c r="V271" s="54"/>
    </row>
    <row r="272" spans="2:22" hidden="1" x14ac:dyDescent="0.2">
      <c r="R272" s="54"/>
      <c r="S272" s="54"/>
      <c r="T272" s="54"/>
      <c r="U272" s="97"/>
      <c r="V272" s="54"/>
    </row>
    <row r="273" spans="2:22" hidden="1" x14ac:dyDescent="0.2">
      <c r="R273" s="54"/>
      <c r="S273" s="54"/>
      <c r="T273" s="54"/>
      <c r="U273" s="97"/>
      <c r="V273" s="54"/>
    </row>
    <row r="274" spans="2:22" hidden="1" x14ac:dyDescent="0.2">
      <c r="R274" s="54"/>
      <c r="S274" s="54"/>
      <c r="T274" s="54"/>
      <c r="U274" s="97"/>
      <c r="V274" s="54"/>
    </row>
    <row r="275" spans="2:22" hidden="1" x14ac:dyDescent="0.2">
      <c r="R275" s="54"/>
      <c r="S275" s="54"/>
      <c r="T275" s="54"/>
      <c r="U275" s="97"/>
      <c r="V275" s="54"/>
    </row>
    <row r="276" spans="2:22" hidden="1" x14ac:dyDescent="0.2">
      <c r="R276" s="54"/>
      <c r="S276" s="54"/>
      <c r="T276" s="54"/>
      <c r="U276" s="97"/>
      <c r="V276" s="54"/>
    </row>
    <row r="277" spans="2:22" hidden="1" x14ac:dyDescent="0.2">
      <c r="R277" s="54"/>
      <c r="S277" s="54"/>
      <c r="T277" s="54"/>
      <c r="U277" s="97"/>
      <c r="V277" s="54"/>
    </row>
    <row r="278" spans="2:22" hidden="1" x14ac:dyDescent="0.2">
      <c r="R278" s="54"/>
      <c r="S278" s="54"/>
      <c r="T278" s="54"/>
      <c r="U278" s="97"/>
      <c r="V278" s="54"/>
    </row>
    <row r="279" spans="2:22" hidden="1" x14ac:dyDescent="0.2">
      <c r="R279" s="54"/>
      <c r="S279" s="54"/>
      <c r="T279" s="54"/>
      <c r="U279" s="97"/>
      <c r="V279" s="54"/>
    </row>
    <row r="280" spans="2:22" hidden="1" x14ac:dyDescent="0.2">
      <c r="R280" s="54"/>
      <c r="S280" s="54"/>
      <c r="T280" s="54"/>
      <c r="U280" s="97"/>
      <c r="V280" s="54"/>
    </row>
    <row r="281" spans="2:22" hidden="1" x14ac:dyDescent="0.2">
      <c r="B281" s="127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97"/>
      <c r="V281" s="54"/>
    </row>
    <row r="282" spans="2:22" hidden="1" x14ac:dyDescent="0.2">
      <c r="B282" s="127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97"/>
      <c r="V282" s="54"/>
    </row>
    <row r="283" spans="2:22" hidden="1" x14ac:dyDescent="0.2">
      <c r="B283" s="127"/>
      <c r="C283" s="99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77"/>
      <c r="U283" s="101"/>
      <c r="V283" s="54"/>
    </row>
    <row r="284" spans="2:22" hidden="1" x14ac:dyDescent="0.2">
      <c r="B284" s="127"/>
      <c r="C284" s="99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77"/>
      <c r="U284" s="101"/>
      <c r="V284" s="54"/>
    </row>
    <row r="285" spans="2:22" hidden="1" x14ac:dyDescent="0.2">
      <c r="B285" s="127"/>
      <c r="C285" s="99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77"/>
      <c r="U285" s="101"/>
      <c r="V285" s="54"/>
    </row>
    <row r="286" spans="2:22" hidden="1" x14ac:dyDescent="0.2">
      <c r="B286" s="127"/>
      <c r="C286" s="102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101"/>
      <c r="V286" s="77"/>
    </row>
    <row r="287" spans="2:22" hidden="1" x14ac:dyDescent="0.2">
      <c r="B287" s="127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97"/>
      <c r="V287" s="54"/>
    </row>
    <row r="288" spans="2:22" hidden="1" x14ac:dyDescent="0.2">
      <c r="B288" s="127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97"/>
      <c r="V288" s="54"/>
    </row>
    <row r="289" spans="2:22" hidden="1" x14ac:dyDescent="0.2">
      <c r="B289" s="127"/>
      <c r="C289" s="103"/>
      <c r="D289" s="54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100"/>
      <c r="U289" s="97"/>
      <c r="V289" s="54"/>
    </row>
    <row r="290" spans="2:22" x14ac:dyDescent="0.2">
      <c r="B290" s="127"/>
      <c r="C290" s="105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100"/>
      <c r="U290" s="97"/>
      <c r="V290" s="54"/>
    </row>
    <row r="291" spans="2:22" x14ac:dyDescent="0.2">
      <c r="B291" s="127"/>
      <c r="C291" s="105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100"/>
      <c r="U291" s="97"/>
      <c r="V291" s="54"/>
    </row>
    <row r="292" spans="2:22" x14ac:dyDescent="0.2">
      <c r="B292" s="127"/>
      <c r="C292" s="105"/>
      <c r="D292" s="54"/>
      <c r="E292" s="54"/>
      <c r="F292" s="54"/>
      <c r="G292" s="54"/>
      <c r="H292" s="54"/>
      <c r="I292" s="54"/>
      <c r="J292" s="106"/>
      <c r="K292" s="100"/>
      <c r="L292" s="100"/>
      <c r="M292" s="107"/>
      <c r="N292" s="100"/>
      <c r="O292" s="100"/>
      <c r="P292" s="100"/>
      <c r="Q292" s="100"/>
      <c r="R292" s="100"/>
      <c r="S292" s="100"/>
      <c r="T292" s="100"/>
      <c r="U292" s="97"/>
      <c r="V292" s="54"/>
    </row>
    <row r="293" spans="2:22" x14ac:dyDescent="0.2">
      <c r="B293" s="127"/>
      <c r="C293" s="105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100"/>
      <c r="U293" s="97"/>
      <c r="V293" s="54"/>
    </row>
    <row r="294" spans="2:22" x14ac:dyDescent="0.2">
      <c r="B294" s="127"/>
      <c r="C294" s="105"/>
      <c r="D294" s="54"/>
      <c r="E294" s="54"/>
      <c r="F294" s="54"/>
      <c r="G294" s="54"/>
      <c r="H294" s="54"/>
      <c r="I294" s="54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97"/>
      <c r="V294" s="54"/>
    </row>
    <row r="295" spans="2:22" x14ac:dyDescent="0.2">
      <c r="B295" s="127"/>
      <c r="C295" s="105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100"/>
      <c r="U295" s="97"/>
      <c r="V295" s="54"/>
    </row>
    <row r="296" spans="2:22" x14ac:dyDescent="0.2">
      <c r="B296" s="127"/>
      <c r="C296" s="105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100"/>
      <c r="U296" s="97"/>
      <c r="V296" s="54"/>
    </row>
    <row r="297" spans="2:22" x14ac:dyDescent="0.2">
      <c r="B297" s="127"/>
      <c r="C297" s="105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100"/>
      <c r="U297" s="97"/>
      <c r="V297" s="54"/>
    </row>
    <row r="298" spans="2:22" x14ac:dyDescent="0.2">
      <c r="B298" s="127"/>
      <c r="C298" s="105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100"/>
      <c r="U298" s="97"/>
      <c r="V298" s="54"/>
    </row>
    <row r="299" spans="2:22" x14ac:dyDescent="0.2">
      <c r="B299" s="127"/>
      <c r="C299" s="102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101"/>
      <c r="V299" s="77"/>
    </row>
    <row r="300" spans="2:22" x14ac:dyDescent="0.2">
      <c r="B300" s="127"/>
      <c r="C300" s="102"/>
      <c r="D300" s="100"/>
      <c r="E300" s="77"/>
      <c r="F300" s="77"/>
      <c r="G300" s="77"/>
      <c r="H300" s="108"/>
      <c r="I300" s="77"/>
      <c r="J300" s="109"/>
      <c r="K300" s="108"/>
      <c r="L300" s="77"/>
      <c r="M300" s="77"/>
      <c r="N300" s="77"/>
      <c r="O300" s="77"/>
      <c r="P300" s="77"/>
      <c r="Q300" s="77"/>
      <c r="R300" s="77"/>
      <c r="S300" s="77"/>
      <c r="T300" s="100"/>
      <c r="U300" s="97"/>
      <c r="V300" s="54"/>
    </row>
    <row r="301" spans="2:22" x14ac:dyDescent="0.2">
      <c r="B301" s="127"/>
      <c r="C301" s="99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97"/>
      <c r="V301" s="54"/>
    </row>
    <row r="302" spans="2:22" x14ac:dyDescent="0.2">
      <c r="B302" s="127"/>
      <c r="C302" s="99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77"/>
      <c r="U302" s="101"/>
      <c r="V302" s="54"/>
    </row>
    <row r="303" spans="2:22" x14ac:dyDescent="0.2">
      <c r="B303" s="127"/>
      <c r="C303" s="99"/>
      <c r="D303" s="100"/>
      <c r="E303" s="100"/>
      <c r="F303" s="110"/>
      <c r="G303" s="110"/>
      <c r="H303" s="110"/>
      <c r="I303" s="110"/>
      <c r="J303" s="111"/>
      <c r="K303" s="110"/>
      <c r="L303" s="110"/>
      <c r="M303" s="110"/>
      <c r="N303" s="110"/>
      <c r="O303" s="110"/>
      <c r="P303" s="110"/>
      <c r="Q303" s="110"/>
      <c r="R303" s="110"/>
      <c r="S303" s="110"/>
      <c r="T303" s="77"/>
      <c r="U303" s="101"/>
      <c r="V303" s="54"/>
    </row>
    <row r="304" spans="2:22" x14ac:dyDescent="0.2">
      <c r="B304" s="127"/>
      <c r="C304" s="99"/>
      <c r="D304" s="100"/>
      <c r="E304" s="100"/>
      <c r="F304" s="100"/>
      <c r="G304" s="100"/>
      <c r="H304" s="100"/>
      <c r="I304" s="100"/>
      <c r="J304" s="106"/>
      <c r="K304" s="100"/>
      <c r="L304" s="100"/>
      <c r="M304" s="112"/>
      <c r="N304" s="100"/>
      <c r="O304" s="100"/>
      <c r="P304" s="100"/>
      <c r="Q304" s="100"/>
      <c r="R304" s="100"/>
      <c r="S304" s="100"/>
      <c r="T304" s="100"/>
      <c r="U304" s="101"/>
      <c r="V304" s="54"/>
    </row>
    <row r="305" spans="2:22" x14ac:dyDescent="0.2">
      <c r="B305" s="127"/>
      <c r="C305" s="99"/>
      <c r="D305" s="100"/>
      <c r="E305" s="10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00"/>
      <c r="U305" s="101"/>
      <c r="V305" s="54"/>
    </row>
    <row r="306" spans="2:22" x14ac:dyDescent="0.2">
      <c r="B306" s="127"/>
      <c r="C306" s="99"/>
      <c r="D306" s="100"/>
      <c r="E306" s="100"/>
      <c r="F306" s="100"/>
      <c r="G306" s="100"/>
      <c r="H306" s="107"/>
      <c r="I306" s="100"/>
      <c r="J306" s="106"/>
      <c r="K306" s="107"/>
      <c r="L306" s="100"/>
      <c r="M306" s="100"/>
      <c r="N306" s="100"/>
      <c r="O306" s="100"/>
      <c r="P306" s="100"/>
      <c r="Q306" s="100"/>
      <c r="R306" s="100"/>
      <c r="S306" s="100"/>
      <c r="T306" s="100"/>
      <c r="U306" s="101"/>
      <c r="V306" s="54"/>
    </row>
    <row r="307" spans="2:22" x14ac:dyDescent="0.2">
      <c r="B307" s="127"/>
      <c r="C307" s="102"/>
      <c r="D307" s="199"/>
      <c r="E307" s="199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101"/>
      <c r="V307" s="77"/>
    </row>
    <row r="308" spans="2:22" x14ac:dyDescent="0.2">
      <c r="B308" s="127"/>
      <c r="C308" s="102"/>
      <c r="D308" s="100"/>
      <c r="E308" s="77"/>
      <c r="F308" s="77"/>
      <c r="G308" s="77"/>
      <c r="H308" s="77"/>
      <c r="I308" s="77"/>
      <c r="J308" s="108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101"/>
      <c r="V308" s="77"/>
    </row>
    <row r="309" spans="2:22" x14ac:dyDescent="0.2">
      <c r="B309" s="127"/>
      <c r="C309" s="99"/>
      <c r="D309" s="100"/>
      <c r="E309" s="100"/>
      <c r="F309" s="100"/>
      <c r="G309" s="100"/>
      <c r="H309" s="100"/>
      <c r="I309" s="100"/>
      <c r="J309" s="107"/>
      <c r="K309" s="100"/>
      <c r="L309" s="100"/>
      <c r="M309" s="100"/>
      <c r="N309" s="100"/>
      <c r="O309" s="100"/>
      <c r="P309" s="100"/>
      <c r="Q309" s="100"/>
      <c r="R309" s="100"/>
      <c r="S309" s="100"/>
      <c r="T309" s="77"/>
      <c r="U309" s="101"/>
      <c r="V309" s="54"/>
    </row>
    <row r="310" spans="2:22" x14ac:dyDescent="0.2">
      <c r="B310" s="127"/>
      <c r="C310" s="99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77"/>
      <c r="U310" s="101"/>
      <c r="V310" s="54"/>
    </row>
    <row r="311" spans="2:22" x14ac:dyDescent="0.2">
      <c r="B311" s="127"/>
      <c r="C311" s="99"/>
      <c r="D311" s="100"/>
      <c r="E311" s="100"/>
      <c r="F311" s="100"/>
      <c r="G311" s="100"/>
      <c r="H311" s="100"/>
      <c r="I311" s="100"/>
      <c r="J311" s="114"/>
      <c r="K311" s="100"/>
      <c r="L311" s="100"/>
      <c r="M311" s="100"/>
      <c r="N311" s="100"/>
      <c r="O311" s="100"/>
      <c r="P311" s="100"/>
      <c r="Q311" s="100"/>
      <c r="R311" s="100"/>
      <c r="S311" s="100"/>
      <c r="T311" s="77"/>
      <c r="U311" s="101"/>
      <c r="V311" s="54"/>
    </row>
    <row r="312" spans="2:22" x14ac:dyDescent="0.2">
      <c r="B312" s="127"/>
      <c r="C312" s="102"/>
      <c r="D312" s="199"/>
      <c r="E312" s="199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101"/>
      <c r="V312" s="77"/>
    </row>
    <row r="313" spans="2:22" x14ac:dyDescent="0.2">
      <c r="B313" s="127"/>
      <c r="C313" s="102"/>
      <c r="D313" s="77"/>
      <c r="E313" s="77"/>
      <c r="F313" s="77"/>
      <c r="G313" s="77"/>
      <c r="H313" s="77"/>
      <c r="I313" s="77"/>
      <c r="J313" s="77"/>
      <c r="K313" s="77"/>
      <c r="L313" s="77"/>
      <c r="M313" s="108"/>
      <c r="N313" s="77"/>
      <c r="O313" s="77"/>
      <c r="P313" s="77"/>
      <c r="Q313" s="77"/>
      <c r="R313" s="77"/>
      <c r="S313" s="77"/>
      <c r="T313" s="77"/>
      <c r="U313" s="101"/>
      <c r="V313" s="77"/>
    </row>
    <row r="314" spans="2:22" ht="15.75" x14ac:dyDescent="0.2">
      <c r="B314" s="127"/>
      <c r="C314" s="115"/>
      <c r="D314" s="115"/>
      <c r="E314" s="116"/>
      <c r="F314" s="117"/>
      <c r="G314" s="117"/>
      <c r="H314" s="117"/>
      <c r="I314" s="117"/>
      <c r="J314" s="118"/>
      <c r="K314" s="117"/>
      <c r="L314" s="117"/>
      <c r="M314" s="117"/>
      <c r="N314" s="117"/>
      <c r="O314" s="117"/>
      <c r="P314" s="117"/>
      <c r="Q314" s="117"/>
      <c r="R314" s="117"/>
      <c r="S314" s="117"/>
      <c r="T314" s="77"/>
      <c r="U314" s="101"/>
      <c r="V314" s="54"/>
    </row>
    <row r="315" spans="2:22" ht="15.75" x14ac:dyDescent="0.2">
      <c r="B315" s="127"/>
      <c r="C315" s="119"/>
      <c r="D315" s="116"/>
      <c r="E315" s="116"/>
      <c r="F315" s="100"/>
      <c r="G315" s="100"/>
      <c r="H315" s="100"/>
      <c r="I315" s="100"/>
      <c r="J315" s="107"/>
      <c r="K315" s="100"/>
      <c r="L315" s="100"/>
      <c r="M315" s="107"/>
      <c r="N315" s="100"/>
      <c r="O315" s="100"/>
      <c r="P315" s="100"/>
      <c r="Q315" s="100"/>
      <c r="R315" s="100"/>
      <c r="S315" s="100"/>
      <c r="T315" s="77"/>
      <c r="U315" s="101"/>
      <c r="V315" s="54"/>
    </row>
    <row r="316" spans="2:22" ht="15.75" x14ac:dyDescent="0.2">
      <c r="B316" s="127"/>
      <c r="C316" s="119"/>
      <c r="D316" s="116"/>
      <c r="E316" s="116"/>
      <c r="F316" s="117"/>
      <c r="G316" s="117"/>
      <c r="H316" s="117"/>
      <c r="I316" s="117"/>
      <c r="J316" s="118"/>
      <c r="K316" s="117"/>
      <c r="L316" s="117"/>
      <c r="M316" s="117"/>
      <c r="N316" s="117"/>
      <c r="O316" s="117"/>
      <c r="P316" s="117"/>
      <c r="Q316" s="117"/>
      <c r="R316" s="117"/>
      <c r="S316" s="117"/>
      <c r="T316" s="77"/>
      <c r="U316" s="101"/>
      <c r="V316" s="54"/>
    </row>
  </sheetData>
  <mergeCells count="22">
    <mergeCell ref="B1:V1"/>
    <mergeCell ref="B2:B3"/>
    <mergeCell ref="C2:C3"/>
    <mergeCell ref="D2:D3"/>
    <mergeCell ref="E2:E3"/>
    <mergeCell ref="F2:F3"/>
    <mergeCell ref="G2:G3"/>
    <mergeCell ref="H2:H3"/>
    <mergeCell ref="I2:I3"/>
    <mergeCell ref="J2:N2"/>
    <mergeCell ref="D250:E250"/>
    <mergeCell ref="O2:S2"/>
    <mergeCell ref="T2:T3"/>
    <mergeCell ref="D39:E39"/>
    <mergeCell ref="D96:E96"/>
    <mergeCell ref="D131:E131"/>
    <mergeCell ref="D10:E10"/>
    <mergeCell ref="D179:E179"/>
    <mergeCell ref="D213:E213"/>
    <mergeCell ref="D222:E222"/>
    <mergeCell ref="D231:E231"/>
    <mergeCell ref="D240:E240"/>
  </mergeCells>
  <pageMargins left="0.7" right="0.7" top="0.75" bottom="0.75" header="0.3" footer="0.3"/>
  <pageSetup paperSize="9" scale="83" orientation="landscape" r:id="rId1"/>
  <rowBreaks count="1" manualBreakCount="1">
    <brk id="2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17"/>
  <sheetViews>
    <sheetView view="pageBreakPreview" topLeftCell="B92" zoomScale="60" workbookViewId="0">
      <selection activeCell="C156" sqref="C156"/>
    </sheetView>
  </sheetViews>
  <sheetFormatPr defaultRowHeight="12.75" x14ac:dyDescent="0.2"/>
  <cols>
    <col min="1" max="1" width="2.5703125" customWidth="1"/>
    <col min="2" max="2" width="7.85546875" style="126" customWidth="1"/>
    <col min="3" max="3" width="30.140625" customWidth="1"/>
    <col min="4" max="4" width="7.28515625" customWidth="1"/>
    <col min="5" max="5" width="7.7109375" customWidth="1"/>
    <col min="6" max="6" width="7.140625" customWidth="1"/>
    <col min="7" max="7" width="6.85546875" customWidth="1"/>
    <col min="8" max="8" width="7" customWidth="1"/>
    <col min="9" max="9" width="7.28515625" customWidth="1"/>
    <col min="10" max="10" width="8" customWidth="1"/>
    <col min="11" max="11" width="7.28515625" customWidth="1"/>
    <col min="12" max="12" width="6.140625" customWidth="1"/>
    <col min="13" max="13" width="6.85546875" customWidth="1"/>
    <col min="14" max="14" width="5" customWidth="1"/>
    <col min="15" max="15" width="5.140625" customWidth="1"/>
    <col min="16" max="17" width="5.28515625" customWidth="1"/>
    <col min="18" max="18" width="6.28515625" customWidth="1"/>
    <col min="19" max="19" width="6" style="22" customWidth="1"/>
    <col min="20" max="20" width="6.28515625" style="22" hidden="1" customWidth="1"/>
    <col min="21" max="21" width="6.85546875" style="93" customWidth="1"/>
    <col min="22" max="22" width="6.28515625" customWidth="1"/>
  </cols>
  <sheetData>
    <row r="1" spans="1:23" ht="6" customHeight="1" thickBot="1" x14ac:dyDescent="0.25"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</row>
    <row r="2" spans="1:23" ht="38.25" customHeight="1" x14ac:dyDescent="0.2">
      <c r="B2" s="317" t="s">
        <v>7</v>
      </c>
      <c r="C2" s="319" t="s">
        <v>8</v>
      </c>
      <c r="D2" s="319" t="s">
        <v>9</v>
      </c>
      <c r="E2" s="319" t="s">
        <v>10</v>
      </c>
      <c r="F2" s="319" t="s">
        <v>11</v>
      </c>
      <c r="G2" s="319" t="s">
        <v>12</v>
      </c>
      <c r="H2" s="322" t="s">
        <v>13</v>
      </c>
      <c r="I2" s="322" t="s">
        <v>14</v>
      </c>
      <c r="J2" s="324" t="s">
        <v>26</v>
      </c>
      <c r="K2" s="324"/>
      <c r="L2" s="324"/>
      <c r="M2" s="324"/>
      <c r="N2" s="324"/>
      <c r="O2" s="324" t="s">
        <v>27</v>
      </c>
      <c r="P2" s="324"/>
      <c r="Q2" s="324"/>
      <c r="R2" s="324"/>
      <c r="S2" s="325"/>
      <c r="T2" s="321"/>
      <c r="V2" s="56" t="s">
        <v>83</v>
      </c>
    </row>
    <row r="3" spans="1:23" ht="13.5" thickBot="1" x14ac:dyDescent="0.25">
      <c r="B3" s="318"/>
      <c r="C3" s="320"/>
      <c r="D3" s="320"/>
      <c r="E3" s="320"/>
      <c r="F3" s="320"/>
      <c r="G3" s="320"/>
      <c r="H3" s="323"/>
      <c r="I3" s="323"/>
      <c r="J3" s="12" t="s">
        <v>28</v>
      </c>
      <c r="K3" s="12" t="s">
        <v>15</v>
      </c>
      <c r="L3" s="12" t="s">
        <v>16</v>
      </c>
      <c r="M3" s="12" t="s">
        <v>17</v>
      </c>
      <c r="N3" s="12" t="s">
        <v>18</v>
      </c>
      <c r="O3" s="12" t="s">
        <v>19</v>
      </c>
      <c r="P3" s="12" t="s">
        <v>20</v>
      </c>
      <c r="Q3" s="12" t="s">
        <v>21</v>
      </c>
      <c r="R3" s="13" t="s">
        <v>22</v>
      </c>
      <c r="S3" s="53" t="s">
        <v>23</v>
      </c>
      <c r="T3" s="321"/>
      <c r="V3" s="52"/>
    </row>
    <row r="4" spans="1:23" x14ac:dyDescent="0.2">
      <c r="B4" s="144"/>
      <c r="C4" s="1" t="s">
        <v>0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66"/>
      <c r="S4" s="69"/>
      <c r="T4" s="69"/>
      <c r="U4" s="96"/>
      <c r="V4" s="84"/>
    </row>
    <row r="5" spans="1:23" x14ac:dyDescent="0.2">
      <c r="B5" s="69"/>
      <c r="C5" s="196" t="s">
        <v>163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  <c r="S5" s="69"/>
      <c r="T5" s="69"/>
      <c r="U5" s="96"/>
      <c r="V5" s="84"/>
    </row>
    <row r="6" spans="1:23" s="26" customFormat="1" x14ac:dyDescent="0.2">
      <c r="B6" s="69"/>
      <c r="C6" s="5" t="s">
        <v>125</v>
      </c>
      <c r="D6" s="69"/>
      <c r="E6" s="3">
        <v>200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U6" s="32"/>
      <c r="V6" s="96"/>
    </row>
    <row r="7" spans="1:23" s="26" customFormat="1" ht="38.25" x14ac:dyDescent="0.2">
      <c r="B7" s="69" t="s">
        <v>124</v>
      </c>
      <c r="C7" s="78" t="s">
        <v>126</v>
      </c>
      <c r="D7" s="69">
        <v>176.2</v>
      </c>
      <c r="E7" s="69">
        <v>191</v>
      </c>
      <c r="F7" s="36">
        <f>15.5*E7/100</f>
        <v>29.605</v>
      </c>
      <c r="G7" s="36">
        <f>8*E7/100</f>
        <v>15.28</v>
      </c>
      <c r="H7" s="36">
        <f>29.7*E7/100</f>
        <v>56.726999999999997</v>
      </c>
      <c r="I7" s="36">
        <f>245*E7/100</f>
        <v>467.95</v>
      </c>
      <c r="J7" s="37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U7" s="96">
        <v>164.16</v>
      </c>
      <c r="V7" s="96">
        <v>0.14080000000000001</v>
      </c>
    </row>
    <row r="8" spans="1:23" s="26" customFormat="1" x14ac:dyDescent="0.2">
      <c r="B8" s="69"/>
      <c r="C8" s="65" t="s">
        <v>37</v>
      </c>
      <c r="D8" s="69">
        <v>9</v>
      </c>
      <c r="E8" s="69">
        <v>9</v>
      </c>
      <c r="F8" s="69">
        <f>0.8*E8/100</f>
        <v>7.2000000000000008E-2</v>
      </c>
      <c r="G8" s="69">
        <f>72.5*E8/100</f>
        <v>6.5250000000000004</v>
      </c>
      <c r="H8" s="69">
        <f>1.3*E8/100</f>
        <v>0.11700000000000001</v>
      </c>
      <c r="I8" s="69">
        <f>661*E8/100</f>
        <v>59.49</v>
      </c>
      <c r="J8" s="86">
        <f>23*E8/100</f>
        <v>2.0699999999999998</v>
      </c>
      <c r="K8" s="69">
        <f>22*E8/100</f>
        <v>1.98</v>
      </c>
      <c r="L8" s="69">
        <f>3*E8/100</f>
        <v>0.27</v>
      </c>
      <c r="M8" s="85">
        <f>19*E8/100</f>
        <v>1.71</v>
      </c>
      <c r="N8" s="69">
        <f>0.2*E8/100</f>
        <v>1.8000000000000002E-2</v>
      </c>
      <c r="O8" s="69">
        <f>0.5*E8/100</f>
        <v>4.4999999999999998E-2</v>
      </c>
      <c r="P8" s="69">
        <f>0</f>
        <v>0</v>
      </c>
      <c r="Q8" s="96">
        <f>0.01*E8/1000</f>
        <v>8.9999999999999992E-5</v>
      </c>
      <c r="R8" s="69">
        <f>0.1*E8/100</f>
        <v>9.0000000000000011E-3</v>
      </c>
      <c r="S8" s="69">
        <f>0</f>
        <v>0</v>
      </c>
      <c r="U8" s="96">
        <v>337.78</v>
      </c>
      <c r="V8" s="96">
        <v>2.2259999999999999E-2</v>
      </c>
    </row>
    <row r="9" spans="1:23" s="26" customFormat="1" x14ac:dyDescent="0.2">
      <c r="B9" s="69"/>
      <c r="C9" s="39" t="s">
        <v>47</v>
      </c>
      <c r="D9" s="69"/>
      <c r="E9" s="69"/>
      <c r="F9" s="3">
        <f>F7+F8</f>
        <v>29.677</v>
      </c>
      <c r="G9" s="3">
        <f t="shared" ref="G9:S9" si="0">G7+G8</f>
        <v>21.805</v>
      </c>
      <c r="H9" s="3">
        <f t="shared" si="0"/>
        <v>56.843999999999994</v>
      </c>
      <c r="I9" s="3">
        <f t="shared" si="0"/>
        <v>527.43999999999994</v>
      </c>
      <c r="J9" s="3">
        <f t="shared" si="0"/>
        <v>2.0699999999999998</v>
      </c>
      <c r="K9" s="3">
        <f t="shared" si="0"/>
        <v>1.98</v>
      </c>
      <c r="L9" s="3">
        <f t="shared" si="0"/>
        <v>0.27</v>
      </c>
      <c r="M9" s="3">
        <f t="shared" si="0"/>
        <v>1.71</v>
      </c>
      <c r="N9" s="3">
        <f t="shared" si="0"/>
        <v>1.8000000000000002E-2</v>
      </c>
      <c r="O9" s="3">
        <f t="shared" si="0"/>
        <v>4.4999999999999998E-2</v>
      </c>
      <c r="P9" s="3">
        <f t="shared" si="0"/>
        <v>0</v>
      </c>
      <c r="Q9" s="3">
        <f t="shared" si="0"/>
        <v>8.9999999999999992E-5</v>
      </c>
      <c r="R9" s="3">
        <f t="shared" si="0"/>
        <v>9.0000000000000011E-3</v>
      </c>
      <c r="S9" s="3">
        <f t="shared" si="0"/>
        <v>0</v>
      </c>
      <c r="U9" s="96"/>
      <c r="V9" s="96">
        <v>0</v>
      </c>
    </row>
    <row r="10" spans="1:23" s="26" customFormat="1" x14ac:dyDescent="0.2">
      <c r="B10" s="69" t="s">
        <v>73</v>
      </c>
      <c r="C10" s="5" t="s">
        <v>74</v>
      </c>
      <c r="D10" s="313" t="s">
        <v>75</v>
      </c>
      <c r="E10" s="314"/>
      <c r="F10" s="3">
        <f t="shared" ref="F10:S10" si="1">SUM(F11:F13)</f>
        <v>0.1</v>
      </c>
      <c r="G10" s="3">
        <f t="shared" si="1"/>
        <v>0</v>
      </c>
      <c r="H10" s="3">
        <f t="shared" si="1"/>
        <v>15</v>
      </c>
      <c r="I10" s="3">
        <f t="shared" si="1"/>
        <v>57.699999999999996</v>
      </c>
      <c r="J10" s="3">
        <f t="shared" si="1"/>
        <v>12.9</v>
      </c>
      <c r="K10" s="3">
        <f t="shared" si="1"/>
        <v>2.9</v>
      </c>
      <c r="L10" s="3">
        <f t="shared" si="1"/>
        <v>2.2000000000000002</v>
      </c>
      <c r="M10" s="3">
        <f t="shared" si="1"/>
        <v>4.12</v>
      </c>
      <c r="N10" s="3">
        <f t="shared" si="1"/>
        <v>0.4</v>
      </c>
      <c r="O10" s="3">
        <f t="shared" si="1"/>
        <v>0</v>
      </c>
      <c r="P10" s="3">
        <f t="shared" si="1"/>
        <v>0</v>
      </c>
      <c r="Q10" s="3">
        <f t="shared" si="1"/>
        <v>0</v>
      </c>
      <c r="R10" s="50">
        <f t="shared" si="1"/>
        <v>0</v>
      </c>
      <c r="S10" s="3">
        <f t="shared" si="1"/>
        <v>0</v>
      </c>
      <c r="T10" s="69"/>
      <c r="U10" s="96"/>
      <c r="V10" s="84"/>
    </row>
    <row r="11" spans="1:23" s="26" customFormat="1" x14ac:dyDescent="0.2">
      <c r="B11" s="69"/>
      <c r="C11" s="65" t="s">
        <v>40</v>
      </c>
      <c r="D11" s="159">
        <v>50</v>
      </c>
      <c r="E11" s="159">
        <v>50</v>
      </c>
      <c r="F11" s="69">
        <v>0.1</v>
      </c>
      <c r="G11" s="69">
        <v>0</v>
      </c>
      <c r="H11" s="69">
        <v>0</v>
      </c>
      <c r="I11" s="69">
        <v>0.8</v>
      </c>
      <c r="J11" s="85">
        <v>12.4</v>
      </c>
      <c r="K11" s="69">
        <v>2.5</v>
      </c>
      <c r="L11" s="69">
        <v>2.2000000000000002</v>
      </c>
      <c r="M11" s="85">
        <v>4.12</v>
      </c>
      <c r="N11" s="69">
        <v>0.4</v>
      </c>
      <c r="O11" s="69">
        <v>0</v>
      </c>
      <c r="P11" s="69">
        <v>0</v>
      </c>
      <c r="Q11" s="69">
        <v>0</v>
      </c>
      <c r="R11" s="70">
        <v>0</v>
      </c>
      <c r="S11" s="69">
        <v>0</v>
      </c>
      <c r="T11" s="69"/>
      <c r="U11" s="96">
        <v>539.16999999999996</v>
      </c>
      <c r="V11" s="84">
        <f>1*U11/1000</f>
        <v>0.53916999999999993</v>
      </c>
    </row>
    <row r="12" spans="1:23" s="26" customFormat="1" x14ac:dyDescent="0.2">
      <c r="B12" s="69"/>
      <c r="C12" s="65" t="s">
        <v>30</v>
      </c>
      <c r="D12" s="159">
        <v>15</v>
      </c>
      <c r="E12" s="159">
        <v>15</v>
      </c>
      <c r="F12" s="69">
        <v>0</v>
      </c>
      <c r="G12" s="69">
        <v>0</v>
      </c>
      <c r="H12" s="69">
        <v>15</v>
      </c>
      <c r="I12" s="69">
        <v>56.9</v>
      </c>
      <c r="J12" s="85">
        <v>0.5</v>
      </c>
      <c r="K12" s="69">
        <v>0.4</v>
      </c>
      <c r="L12" s="69">
        <v>0</v>
      </c>
      <c r="M12" s="85">
        <v>0</v>
      </c>
      <c r="N12" s="69">
        <v>0</v>
      </c>
      <c r="O12" s="69">
        <v>0</v>
      </c>
      <c r="P12" s="69">
        <v>0</v>
      </c>
      <c r="Q12" s="69">
        <v>0</v>
      </c>
      <c r="R12" s="70">
        <v>0</v>
      </c>
      <c r="S12" s="69">
        <v>0</v>
      </c>
      <c r="T12" s="69"/>
      <c r="U12" s="96">
        <v>50.97</v>
      </c>
      <c r="V12" s="84">
        <f>D12*U12/1000</f>
        <v>0.76454999999999995</v>
      </c>
    </row>
    <row r="13" spans="1:23" s="67" customFormat="1" x14ac:dyDescent="0.2">
      <c r="A13" s="154"/>
      <c r="B13" s="69"/>
      <c r="C13" s="65" t="s">
        <v>35</v>
      </c>
      <c r="D13" s="159">
        <v>150</v>
      </c>
      <c r="E13" s="159">
        <v>150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70">
        <v>0</v>
      </c>
      <c r="S13" s="69">
        <v>0</v>
      </c>
      <c r="T13" s="69"/>
      <c r="U13" s="96">
        <v>0</v>
      </c>
      <c r="V13" s="84">
        <f>D13*U13/1000</f>
        <v>0</v>
      </c>
      <c r="W13" s="154"/>
    </row>
    <row r="14" spans="1:23" x14ac:dyDescent="0.2">
      <c r="B14" s="69"/>
      <c r="C14" s="39" t="s">
        <v>47</v>
      </c>
      <c r="D14" s="196"/>
      <c r="E14" s="19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3"/>
      <c r="U14" s="32"/>
      <c r="V14" s="21">
        <f>SUM(V11:V13)</f>
        <v>1.3037199999999998</v>
      </c>
    </row>
    <row r="15" spans="1:23" x14ac:dyDescent="0.2">
      <c r="B15" s="69"/>
      <c r="C15" s="42" t="s">
        <v>164</v>
      </c>
      <c r="D15" s="42"/>
      <c r="E15" s="42"/>
      <c r="F15" s="42">
        <v>28.915900000000001</v>
      </c>
      <c r="G15" s="42">
        <v>30.662700000000001</v>
      </c>
      <c r="H15" s="42">
        <v>88.719399999999993</v>
      </c>
      <c r="I15" s="42">
        <v>666.63760000000002</v>
      </c>
      <c r="J15" s="42">
        <v>786.74599999999998</v>
      </c>
      <c r="K15" s="42">
        <v>131.678</v>
      </c>
      <c r="L15" s="42">
        <v>135.65799999999999</v>
      </c>
      <c r="M15" s="42">
        <v>183.2825</v>
      </c>
      <c r="N15" s="42">
        <v>8.1952200000000008</v>
      </c>
      <c r="O15" s="42">
        <v>6.3E-2</v>
      </c>
      <c r="P15" s="42">
        <v>0.51873999999999998</v>
      </c>
      <c r="Q15" s="42">
        <v>0.33509100000000003</v>
      </c>
      <c r="R15" s="42">
        <v>6.69116</v>
      </c>
      <c r="S15" s="42">
        <v>45.122500000000002</v>
      </c>
      <c r="T15" s="42"/>
      <c r="U15" s="153">
        <v>33.19</v>
      </c>
      <c r="V15" s="135">
        <v>0.88400000000000001</v>
      </c>
    </row>
    <row r="16" spans="1:23" hidden="1" x14ac:dyDescent="0.2">
      <c r="B16" s="169"/>
      <c r="C16" s="42" t="s">
        <v>164</v>
      </c>
      <c r="D16" s="3"/>
      <c r="E16" s="21"/>
      <c r="F16" s="21">
        <v>29.646999999999998</v>
      </c>
      <c r="G16" s="21">
        <v>29.372</v>
      </c>
      <c r="H16" s="21">
        <v>116.36</v>
      </c>
      <c r="I16" s="21">
        <v>847</v>
      </c>
      <c r="J16" s="21">
        <v>772.58399999999995</v>
      </c>
      <c r="K16" s="21">
        <v>78.655000000000001</v>
      </c>
      <c r="L16" s="21">
        <v>105.28</v>
      </c>
      <c r="M16" s="21">
        <v>244.2</v>
      </c>
      <c r="N16" s="21">
        <v>5.7069999999999999</v>
      </c>
      <c r="O16" s="21">
        <v>0.06</v>
      </c>
      <c r="P16" s="21">
        <v>0.51</v>
      </c>
      <c r="Q16" s="21">
        <v>0.29599999999999999</v>
      </c>
      <c r="R16" s="21">
        <v>5.476</v>
      </c>
      <c r="S16" s="21">
        <v>9.7200000000000006</v>
      </c>
      <c r="T16" s="147"/>
      <c r="U16" s="52"/>
      <c r="V16" s="258">
        <v>28.28</v>
      </c>
    </row>
    <row r="17" spans="2:22" s="26" customFormat="1" x14ac:dyDescent="0.2">
      <c r="B17" s="16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153"/>
      <c r="V17" s="170"/>
    </row>
    <row r="18" spans="2:22" x14ac:dyDescent="0.2">
      <c r="B18" s="69"/>
      <c r="C18" s="196" t="s">
        <v>3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69"/>
      <c r="T18" s="69"/>
      <c r="U18" s="96"/>
      <c r="V18" s="84"/>
    </row>
    <row r="19" spans="2:22" ht="24.75" customHeight="1" x14ac:dyDescent="0.2">
      <c r="B19" s="69"/>
      <c r="C19" s="196" t="s">
        <v>163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69"/>
      <c r="T19" s="69"/>
      <c r="U19" s="96"/>
      <c r="V19" s="84"/>
    </row>
    <row r="20" spans="2:22" x14ac:dyDescent="0.2">
      <c r="B20" s="69" t="s">
        <v>108</v>
      </c>
      <c r="C20" s="5" t="s">
        <v>109</v>
      </c>
      <c r="D20" s="69"/>
      <c r="E20" s="3"/>
      <c r="F20" s="3"/>
      <c r="G20" s="3"/>
      <c r="H20" s="3"/>
      <c r="I20" s="32"/>
      <c r="J20" s="3"/>
      <c r="K20" s="32"/>
      <c r="L20" s="32"/>
      <c r="M20" s="7"/>
      <c r="N20" s="3"/>
      <c r="O20" s="3"/>
      <c r="P20" s="3"/>
      <c r="Q20" s="3"/>
      <c r="R20" s="3"/>
      <c r="S20" s="32"/>
      <c r="T20" s="69"/>
      <c r="U20" s="96"/>
      <c r="V20" s="84"/>
    </row>
    <row r="21" spans="2:22" x14ac:dyDescent="0.2">
      <c r="B21" s="69"/>
      <c r="C21" s="155" t="s">
        <v>119</v>
      </c>
      <c r="D21" s="69">
        <v>71.400000000000006</v>
      </c>
      <c r="E21" s="69">
        <v>70</v>
      </c>
      <c r="F21" s="69">
        <f>11*E21/100</f>
        <v>7.7</v>
      </c>
      <c r="G21" s="69">
        <f>23.9*E21/100</f>
        <v>16.73</v>
      </c>
      <c r="H21" s="69">
        <v>0</v>
      </c>
      <c r="I21" s="96">
        <f>261*E21/100</f>
        <v>182.7</v>
      </c>
      <c r="J21" s="69">
        <f>220*E21/100</f>
        <v>154</v>
      </c>
      <c r="K21" s="85">
        <f>35*E21/100</f>
        <v>24.5</v>
      </c>
      <c r="L21" s="85">
        <f>20*E21/100</f>
        <v>14</v>
      </c>
      <c r="M21" s="85">
        <f>159*E21/100</f>
        <v>111.3</v>
      </c>
      <c r="N21" s="69">
        <f>1.8*E21/100</f>
        <v>1.26</v>
      </c>
      <c r="O21" s="69">
        <v>0</v>
      </c>
      <c r="P21" s="69">
        <v>0</v>
      </c>
      <c r="Q21" s="69">
        <v>0</v>
      </c>
      <c r="R21" s="69">
        <v>0</v>
      </c>
      <c r="S21" s="96">
        <v>0</v>
      </c>
      <c r="T21" s="69"/>
      <c r="U21" s="96">
        <v>254.37</v>
      </c>
      <c r="V21" s="84">
        <f>D21*U21/1000</f>
        <v>18.162018</v>
      </c>
    </row>
    <row r="22" spans="2:22" x14ac:dyDescent="0.2">
      <c r="B22" s="144"/>
      <c r="C22" s="71" t="s">
        <v>77</v>
      </c>
      <c r="D22" s="21"/>
      <c r="E22" s="21"/>
      <c r="F22" s="21">
        <v>7.7</v>
      </c>
      <c r="G22" s="21">
        <v>16.73</v>
      </c>
      <c r="H22" s="21">
        <v>0</v>
      </c>
      <c r="I22" s="21">
        <v>182.7</v>
      </c>
      <c r="J22" s="21">
        <v>154</v>
      </c>
      <c r="K22" s="21">
        <v>24.5</v>
      </c>
      <c r="L22" s="21">
        <v>14</v>
      </c>
      <c r="M22" s="21">
        <v>111.3</v>
      </c>
      <c r="N22" s="21">
        <v>1.26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69"/>
      <c r="U22" s="96"/>
      <c r="V22" s="21">
        <f>V21</f>
        <v>18.162018</v>
      </c>
    </row>
    <row r="23" spans="2:22" x14ac:dyDescent="0.2">
      <c r="B23" s="136" t="s">
        <v>98</v>
      </c>
      <c r="C23" s="71" t="s">
        <v>99</v>
      </c>
      <c r="D23" s="72"/>
      <c r="E23" s="73">
        <v>50</v>
      </c>
      <c r="F23" s="29"/>
      <c r="G23" s="74"/>
      <c r="H23" s="74"/>
      <c r="I23" s="74"/>
      <c r="J23" s="75"/>
      <c r="K23" s="74"/>
      <c r="L23" s="74"/>
      <c r="M23" s="75"/>
      <c r="N23" s="74"/>
      <c r="O23" s="74"/>
      <c r="P23" s="74"/>
      <c r="Q23" s="74"/>
      <c r="R23" s="74"/>
      <c r="S23" s="74"/>
      <c r="T23" s="26"/>
      <c r="U23" s="32"/>
      <c r="V23" s="84"/>
    </row>
    <row r="24" spans="2:22" s="26" customFormat="1" x14ac:dyDescent="0.2">
      <c r="B24" s="136"/>
      <c r="C24" s="30" t="s">
        <v>100</v>
      </c>
      <c r="D24" s="31">
        <v>50</v>
      </c>
      <c r="E24" s="31">
        <v>50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U24" s="96">
        <v>0</v>
      </c>
      <c r="V24" s="84">
        <f t="shared" ref="V24:V32" si="2">D24*U24/1000</f>
        <v>0</v>
      </c>
    </row>
    <row r="25" spans="2:22" ht="15.75" customHeight="1" x14ac:dyDescent="0.2">
      <c r="B25" s="136"/>
      <c r="C25" s="30" t="s">
        <v>34</v>
      </c>
      <c r="D25" s="31">
        <v>2.5</v>
      </c>
      <c r="E25" s="31">
        <v>2.5</v>
      </c>
      <c r="F25" s="31">
        <v>0</v>
      </c>
      <c r="G25" s="31">
        <v>2.5</v>
      </c>
      <c r="H25" s="31">
        <v>0</v>
      </c>
      <c r="I25" s="31">
        <v>22.4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26"/>
      <c r="U25" s="96">
        <v>83.43</v>
      </c>
      <c r="V25" s="84">
        <f t="shared" si="2"/>
        <v>0.20857500000000001</v>
      </c>
    </row>
    <row r="26" spans="2:22" ht="27.75" customHeight="1" x14ac:dyDescent="0.2">
      <c r="B26" s="136"/>
      <c r="C26" s="30" t="s">
        <v>38</v>
      </c>
      <c r="D26" s="31">
        <v>2.5</v>
      </c>
      <c r="E26" s="31">
        <v>2.5</v>
      </c>
      <c r="F26" s="31">
        <v>0.3</v>
      </c>
      <c r="G26" s="31">
        <v>0</v>
      </c>
      <c r="H26" s="31">
        <v>1.7</v>
      </c>
      <c r="I26" s="31">
        <v>8.4</v>
      </c>
      <c r="J26" s="31">
        <v>4.4000000000000004</v>
      </c>
      <c r="K26" s="31">
        <v>0.6</v>
      </c>
      <c r="L26" s="31">
        <v>1.1000000000000001</v>
      </c>
      <c r="M26" s="31">
        <v>2.9</v>
      </c>
      <c r="N26" s="31">
        <v>0.05</v>
      </c>
      <c r="O26" s="31">
        <v>0</v>
      </c>
      <c r="P26" s="31">
        <v>0</v>
      </c>
      <c r="Q26" s="31">
        <v>0</v>
      </c>
      <c r="R26" s="31">
        <v>0.03</v>
      </c>
      <c r="S26" s="31">
        <v>0</v>
      </c>
      <c r="T26" s="26"/>
      <c r="U26" s="96">
        <v>27.31</v>
      </c>
      <c r="V26" s="84">
        <f t="shared" si="2"/>
        <v>6.8274999999999988E-2</v>
      </c>
    </row>
    <row r="27" spans="2:22" ht="15.75" customHeight="1" x14ac:dyDescent="0.2">
      <c r="B27" s="136"/>
      <c r="C27" s="30" t="s">
        <v>36</v>
      </c>
      <c r="D27" s="31">
        <v>2</v>
      </c>
      <c r="E27" s="31">
        <v>2</v>
      </c>
      <c r="F27" s="31">
        <v>0.1</v>
      </c>
      <c r="G27" s="31">
        <v>0</v>
      </c>
      <c r="H27" s="31">
        <v>0.4</v>
      </c>
      <c r="I27" s="31">
        <v>2</v>
      </c>
      <c r="J27" s="31">
        <v>17.5</v>
      </c>
      <c r="K27" s="31">
        <v>0.4</v>
      </c>
      <c r="L27" s="31">
        <v>1</v>
      </c>
      <c r="M27" s="31">
        <v>1.36</v>
      </c>
      <c r="N27" s="31">
        <v>0.05</v>
      </c>
      <c r="O27" s="31">
        <v>0</v>
      </c>
      <c r="P27" s="31">
        <v>0</v>
      </c>
      <c r="Q27" s="31">
        <v>0</v>
      </c>
      <c r="R27" s="31">
        <v>0.04</v>
      </c>
      <c r="S27" s="31">
        <v>0.9</v>
      </c>
      <c r="T27" s="26"/>
      <c r="U27" s="96">
        <v>120</v>
      </c>
      <c r="V27" s="84">
        <f t="shared" si="2"/>
        <v>0.24</v>
      </c>
    </row>
    <row r="28" spans="2:22" s="26" customFormat="1" x14ac:dyDescent="0.2">
      <c r="B28" s="136"/>
      <c r="C28" s="30" t="s">
        <v>32</v>
      </c>
      <c r="D28" s="31">
        <v>5</v>
      </c>
      <c r="E28" s="31">
        <v>4</v>
      </c>
      <c r="F28" s="31">
        <v>0.06</v>
      </c>
      <c r="G28" s="31">
        <v>0</v>
      </c>
      <c r="H28" s="31">
        <v>0.28000000000000003</v>
      </c>
      <c r="I28" s="31">
        <v>1.4</v>
      </c>
      <c r="J28" s="31">
        <v>8</v>
      </c>
      <c r="K28" s="31">
        <v>1</v>
      </c>
      <c r="L28" s="31">
        <v>1.5</v>
      </c>
      <c r="M28" s="31">
        <v>2.2000000000000002</v>
      </c>
      <c r="N28" s="31">
        <v>0</v>
      </c>
      <c r="O28" s="31">
        <v>0</v>
      </c>
      <c r="P28" s="31">
        <v>0</v>
      </c>
      <c r="Q28" s="31">
        <v>0</v>
      </c>
      <c r="R28" s="31">
        <v>0.04</v>
      </c>
      <c r="S28" s="31">
        <v>0.2</v>
      </c>
      <c r="U28" s="96">
        <v>32.71</v>
      </c>
      <c r="V28" s="84">
        <f t="shared" si="2"/>
        <v>0.16355</v>
      </c>
    </row>
    <row r="29" spans="2:22" s="26" customFormat="1" x14ac:dyDescent="0.2">
      <c r="B29" s="136"/>
      <c r="C29" s="30" t="s">
        <v>33</v>
      </c>
      <c r="D29" s="31">
        <v>1.2</v>
      </c>
      <c r="E29" s="31">
        <v>1</v>
      </c>
      <c r="F29" s="31">
        <v>0.01</v>
      </c>
      <c r="G29" s="31">
        <v>0</v>
      </c>
      <c r="H29" s="31">
        <v>0.08</v>
      </c>
      <c r="I29" s="31">
        <v>0.41</v>
      </c>
      <c r="J29" s="31">
        <v>1.75</v>
      </c>
      <c r="K29" s="31">
        <v>0.31</v>
      </c>
      <c r="L29" s="31">
        <v>0.14000000000000001</v>
      </c>
      <c r="M29" s="31">
        <v>0.57999999999999996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0.1</v>
      </c>
      <c r="U29" s="96">
        <v>29.62</v>
      </c>
      <c r="V29" s="84">
        <f t="shared" si="2"/>
        <v>3.5543999999999999E-2</v>
      </c>
    </row>
    <row r="30" spans="2:22" s="26" customFormat="1" x14ac:dyDescent="0.2">
      <c r="B30" s="136"/>
      <c r="C30" s="30" t="s">
        <v>30</v>
      </c>
      <c r="D30" s="31">
        <v>0.75</v>
      </c>
      <c r="E30" s="31">
        <v>0.75</v>
      </c>
      <c r="F30" s="31">
        <v>0</v>
      </c>
      <c r="G30" s="31">
        <v>0</v>
      </c>
      <c r="H30" s="31">
        <v>0.7</v>
      </c>
      <c r="I30" s="31">
        <v>2.8</v>
      </c>
      <c r="J30" s="31">
        <v>0.02</v>
      </c>
      <c r="K30" s="31">
        <v>0.01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U30" s="96">
        <v>50.97</v>
      </c>
      <c r="V30" s="84">
        <f t="shared" si="2"/>
        <v>3.8227499999999998E-2</v>
      </c>
    </row>
    <row r="31" spans="2:22" s="26" customFormat="1" x14ac:dyDescent="0.2">
      <c r="B31" s="136"/>
      <c r="C31" s="30" t="s">
        <v>46</v>
      </c>
      <c r="D31" s="31">
        <v>0.5</v>
      </c>
      <c r="E31" s="31">
        <v>0.5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U31" s="96">
        <v>11.63</v>
      </c>
      <c r="V31" s="84">
        <f t="shared" si="2"/>
        <v>5.8150000000000007E-3</v>
      </c>
    </row>
    <row r="32" spans="2:22" s="26" customFormat="1" x14ac:dyDescent="0.2">
      <c r="B32" s="136"/>
      <c r="C32" s="76" t="s">
        <v>39</v>
      </c>
      <c r="D32" s="34">
        <v>0.02</v>
      </c>
      <c r="E32" s="34">
        <v>0.02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U32" s="96">
        <v>300</v>
      </c>
      <c r="V32" s="84">
        <f t="shared" si="2"/>
        <v>6.0000000000000001E-3</v>
      </c>
    </row>
    <row r="33" spans="2:22" s="26" customFormat="1" x14ac:dyDescent="0.2">
      <c r="B33" s="136"/>
      <c r="C33" s="71" t="s">
        <v>77</v>
      </c>
      <c r="D33" s="79"/>
      <c r="E33" s="79"/>
      <c r="F33" s="79">
        <f>SUM(F24:F32)</f>
        <v>0.47000000000000003</v>
      </c>
      <c r="G33" s="79">
        <f t="shared" ref="G33:S33" si="3">SUM(G24:G32)</f>
        <v>2.5</v>
      </c>
      <c r="H33" s="79">
        <f t="shared" si="3"/>
        <v>3.16</v>
      </c>
      <c r="I33" s="79">
        <f t="shared" si="3"/>
        <v>37.409999999999989</v>
      </c>
      <c r="J33" s="79">
        <f t="shared" si="3"/>
        <v>31.669999999999998</v>
      </c>
      <c r="K33" s="79">
        <f t="shared" si="3"/>
        <v>2.3199999999999998</v>
      </c>
      <c r="L33" s="79">
        <f t="shared" si="3"/>
        <v>3.74</v>
      </c>
      <c r="M33" s="79">
        <f t="shared" si="3"/>
        <v>7.04</v>
      </c>
      <c r="N33" s="79">
        <f t="shared" si="3"/>
        <v>0.1</v>
      </c>
      <c r="O33" s="79">
        <f t="shared" si="3"/>
        <v>0</v>
      </c>
      <c r="P33" s="79">
        <f t="shared" si="3"/>
        <v>0</v>
      </c>
      <c r="Q33" s="79">
        <f t="shared" si="3"/>
        <v>0</v>
      </c>
      <c r="R33" s="79">
        <f t="shared" si="3"/>
        <v>0.11000000000000001</v>
      </c>
      <c r="S33" s="79">
        <f t="shared" si="3"/>
        <v>1.2000000000000002</v>
      </c>
      <c r="U33" s="96"/>
      <c r="V33" s="21">
        <f>SUM(V24:V32)</f>
        <v>0.76598650000000001</v>
      </c>
    </row>
    <row r="34" spans="2:22" s="26" customFormat="1" ht="25.5" x14ac:dyDescent="0.2">
      <c r="B34" s="31" t="s">
        <v>70</v>
      </c>
      <c r="C34" s="28" t="s">
        <v>71</v>
      </c>
      <c r="D34" s="31"/>
      <c r="E34" s="29">
        <v>150</v>
      </c>
      <c r="F34" s="29"/>
      <c r="G34" s="29"/>
      <c r="H34" s="59"/>
      <c r="I34" s="29"/>
      <c r="J34" s="59"/>
      <c r="K34" s="49"/>
      <c r="L34" s="29"/>
      <c r="M34" s="29"/>
      <c r="N34" s="29"/>
      <c r="O34" s="29"/>
      <c r="P34" s="29"/>
      <c r="Q34" s="29"/>
      <c r="R34" s="29"/>
      <c r="S34" s="29"/>
      <c r="T34" s="69"/>
      <c r="U34" s="96"/>
      <c r="V34" s="84"/>
    </row>
    <row r="35" spans="2:22" s="26" customFormat="1" x14ac:dyDescent="0.2">
      <c r="B35" s="31"/>
      <c r="C35" s="30" t="s">
        <v>72</v>
      </c>
      <c r="D35" s="31">
        <v>50</v>
      </c>
      <c r="E35" s="31">
        <v>50</v>
      </c>
      <c r="F35" s="31">
        <v>6.3</v>
      </c>
      <c r="G35" s="31">
        <v>0.67</v>
      </c>
      <c r="H35" s="33">
        <v>42.5</v>
      </c>
      <c r="I35" s="31">
        <v>205.57</v>
      </c>
      <c r="J35" s="60">
        <v>75.64</v>
      </c>
      <c r="K35" s="60">
        <v>10.98</v>
      </c>
      <c r="L35" s="31">
        <v>9.76</v>
      </c>
      <c r="M35" s="31">
        <v>53</v>
      </c>
      <c r="N35" s="31">
        <v>0.73</v>
      </c>
      <c r="O35" s="31">
        <v>0</v>
      </c>
      <c r="P35" s="31">
        <v>0.1</v>
      </c>
      <c r="Q35" s="31">
        <v>0.04</v>
      </c>
      <c r="R35" s="31">
        <v>0.74</v>
      </c>
      <c r="S35" s="31">
        <v>0</v>
      </c>
      <c r="T35" s="69"/>
      <c r="U35" s="96">
        <v>44.89</v>
      </c>
      <c r="V35" s="84">
        <f>D35*U35/1000</f>
        <v>2.2444999999999999</v>
      </c>
    </row>
    <row r="36" spans="2:22" x14ac:dyDescent="0.2">
      <c r="B36" s="31"/>
      <c r="C36" s="30" t="s">
        <v>46</v>
      </c>
      <c r="D36" s="31">
        <v>1.6</v>
      </c>
      <c r="E36" s="31">
        <v>1.6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69"/>
      <c r="U36" s="96">
        <v>11.63</v>
      </c>
      <c r="V36" s="84">
        <f>D36*U36/1000</f>
        <v>1.8608E-2</v>
      </c>
    </row>
    <row r="37" spans="2:22" x14ac:dyDescent="0.2">
      <c r="B37" s="31"/>
      <c r="C37" s="30" t="s">
        <v>37</v>
      </c>
      <c r="D37" s="31">
        <v>5.3</v>
      </c>
      <c r="E37" s="31">
        <v>5.3</v>
      </c>
      <c r="F37" s="69">
        <f>0.8*E37/100</f>
        <v>4.24E-2</v>
      </c>
      <c r="G37" s="69">
        <f>72.5*E37/100</f>
        <v>3.8424999999999998</v>
      </c>
      <c r="H37" s="69">
        <f>1.3*E37/100</f>
        <v>6.8900000000000003E-2</v>
      </c>
      <c r="I37" s="69">
        <f>661*E37/100</f>
        <v>35.032999999999994</v>
      </c>
      <c r="J37" s="86">
        <f>23*E37/100</f>
        <v>1.2189999999999999</v>
      </c>
      <c r="K37" s="69">
        <f>22*E37/100</f>
        <v>1.1659999999999999</v>
      </c>
      <c r="L37" s="69">
        <f>3*E37/100</f>
        <v>0.15899999999999997</v>
      </c>
      <c r="M37" s="85">
        <f>19*E37/100</f>
        <v>1.0070000000000001</v>
      </c>
      <c r="N37" s="69">
        <f>0.2*E37/100</f>
        <v>1.06E-2</v>
      </c>
      <c r="O37" s="69">
        <f>0.5*E37/100</f>
        <v>2.6499999999999999E-2</v>
      </c>
      <c r="P37" s="69">
        <f>0</f>
        <v>0</v>
      </c>
      <c r="Q37" s="96">
        <f>0.01*E37/1000</f>
        <v>5.3000000000000001E-5</v>
      </c>
      <c r="R37" s="69">
        <f>0.1*E37/100</f>
        <v>5.3E-3</v>
      </c>
      <c r="S37" s="69">
        <f>0</f>
        <v>0</v>
      </c>
      <c r="T37" s="69"/>
      <c r="U37" s="96">
        <v>337.78</v>
      </c>
      <c r="V37" s="84">
        <f>D37*U37/1000</f>
        <v>1.7902339999999997</v>
      </c>
    </row>
    <row r="38" spans="2:22" x14ac:dyDescent="0.2">
      <c r="B38" s="31"/>
      <c r="C38" s="28" t="s">
        <v>77</v>
      </c>
      <c r="D38" s="29"/>
      <c r="E38" s="29"/>
      <c r="F38" s="29">
        <f>SUM(F35:F37)</f>
        <v>6.3423999999999996</v>
      </c>
      <c r="G38" s="29">
        <f t="shared" ref="G38:T38" si="4">SUM(G35:G37)</f>
        <v>4.5125000000000002</v>
      </c>
      <c r="H38" s="29">
        <f t="shared" si="4"/>
        <v>42.568899999999999</v>
      </c>
      <c r="I38" s="29">
        <f t="shared" si="4"/>
        <v>240.60299999999998</v>
      </c>
      <c r="J38" s="29">
        <f t="shared" si="4"/>
        <v>76.858999999999995</v>
      </c>
      <c r="K38" s="29">
        <f t="shared" si="4"/>
        <v>12.146000000000001</v>
      </c>
      <c r="L38" s="29">
        <f t="shared" si="4"/>
        <v>9.9190000000000005</v>
      </c>
      <c r="M38" s="29">
        <f t="shared" si="4"/>
        <v>54.006999999999998</v>
      </c>
      <c r="N38" s="29">
        <f t="shared" si="4"/>
        <v>0.74060000000000004</v>
      </c>
      <c r="O38" s="29">
        <f t="shared" si="4"/>
        <v>2.6499999999999999E-2</v>
      </c>
      <c r="P38" s="29">
        <f t="shared" si="4"/>
        <v>0.1</v>
      </c>
      <c r="Q38" s="29">
        <f t="shared" si="4"/>
        <v>4.0052999999999998E-2</v>
      </c>
      <c r="R38" s="29">
        <f t="shared" si="4"/>
        <v>0.74529999999999996</v>
      </c>
      <c r="S38" s="29">
        <f t="shared" si="4"/>
        <v>0</v>
      </c>
      <c r="T38" s="29">
        <f t="shared" si="4"/>
        <v>0</v>
      </c>
      <c r="U38" s="95"/>
      <c r="V38" s="21">
        <f>SUM(V35:V37)</f>
        <v>4.0533419999999998</v>
      </c>
    </row>
    <row r="39" spans="2:22" x14ac:dyDescent="0.2">
      <c r="B39" s="69" t="s">
        <v>73</v>
      </c>
      <c r="C39" s="5" t="s">
        <v>74</v>
      </c>
      <c r="D39" s="313" t="s">
        <v>75</v>
      </c>
      <c r="E39" s="314"/>
      <c r="F39" s="4"/>
      <c r="G39" s="4"/>
      <c r="H39" s="4"/>
      <c r="I39" s="4"/>
      <c r="J39" s="11"/>
      <c r="K39" s="4"/>
      <c r="L39" s="4"/>
      <c r="M39" s="11"/>
      <c r="N39" s="4"/>
      <c r="O39" s="4"/>
      <c r="P39" s="4"/>
      <c r="Q39" s="4"/>
      <c r="R39" s="51"/>
      <c r="S39" s="4"/>
      <c r="T39" s="69"/>
      <c r="U39" s="96"/>
      <c r="V39" s="84"/>
    </row>
    <row r="40" spans="2:22" x14ac:dyDescent="0.2">
      <c r="B40" s="69"/>
      <c r="C40" s="65" t="s">
        <v>40</v>
      </c>
      <c r="D40" s="159">
        <v>50</v>
      </c>
      <c r="E40" s="159">
        <v>50</v>
      </c>
      <c r="F40" s="69">
        <v>0.1</v>
      </c>
      <c r="G40" s="69">
        <v>0</v>
      </c>
      <c r="H40" s="69">
        <v>0</v>
      </c>
      <c r="I40" s="69">
        <v>0.8</v>
      </c>
      <c r="J40" s="85">
        <v>12.4</v>
      </c>
      <c r="K40" s="69">
        <v>2.5</v>
      </c>
      <c r="L40" s="69">
        <v>2.2000000000000002</v>
      </c>
      <c r="M40" s="85">
        <v>4.12</v>
      </c>
      <c r="N40" s="69">
        <v>0.4</v>
      </c>
      <c r="O40" s="69">
        <v>0</v>
      </c>
      <c r="P40" s="69">
        <v>0</v>
      </c>
      <c r="Q40" s="69">
        <v>0</v>
      </c>
      <c r="R40" s="70">
        <v>0</v>
      </c>
      <c r="S40" s="69">
        <v>0</v>
      </c>
      <c r="T40" s="69"/>
      <c r="U40" s="96">
        <v>412</v>
      </c>
      <c r="V40" s="84">
        <f>1*U40/1000</f>
        <v>0.41199999999999998</v>
      </c>
    </row>
    <row r="41" spans="2:22" x14ac:dyDescent="0.2">
      <c r="B41" s="69"/>
      <c r="C41" s="65" t="s">
        <v>30</v>
      </c>
      <c r="D41" s="159">
        <v>15</v>
      </c>
      <c r="E41" s="159">
        <v>15</v>
      </c>
      <c r="F41" s="69">
        <v>0</v>
      </c>
      <c r="G41" s="69">
        <v>0</v>
      </c>
      <c r="H41" s="69">
        <v>15</v>
      </c>
      <c r="I41" s="69">
        <v>56.9</v>
      </c>
      <c r="J41" s="85">
        <v>0.5</v>
      </c>
      <c r="K41" s="69">
        <v>0.4</v>
      </c>
      <c r="L41" s="69">
        <v>0</v>
      </c>
      <c r="M41" s="85">
        <v>0</v>
      </c>
      <c r="N41" s="69">
        <v>0</v>
      </c>
      <c r="O41" s="69">
        <v>0</v>
      </c>
      <c r="P41" s="69">
        <v>0</v>
      </c>
      <c r="Q41" s="69">
        <v>0</v>
      </c>
      <c r="R41" s="70">
        <v>0</v>
      </c>
      <c r="S41" s="69">
        <v>0</v>
      </c>
      <c r="T41" s="69"/>
      <c r="U41" s="96">
        <v>35.159999999999997</v>
      </c>
      <c r="V41" s="84">
        <f t="shared" ref="V41:V42" si="5">D41*U41/1000</f>
        <v>0.52739999999999998</v>
      </c>
    </row>
    <row r="42" spans="2:22" s="26" customFormat="1" x14ac:dyDescent="0.2">
      <c r="B42" s="69"/>
      <c r="C42" s="65" t="s">
        <v>35</v>
      </c>
      <c r="D42" s="159">
        <v>150</v>
      </c>
      <c r="E42" s="159">
        <v>150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70">
        <v>0</v>
      </c>
      <c r="S42" s="69">
        <v>0</v>
      </c>
      <c r="T42" s="69"/>
      <c r="U42" s="96">
        <v>0</v>
      </c>
      <c r="V42" s="84">
        <f t="shared" si="5"/>
        <v>0</v>
      </c>
    </row>
    <row r="43" spans="2:22" s="26" customFormat="1" x14ac:dyDescent="0.2">
      <c r="B43" s="69"/>
      <c r="C43" s="39" t="s">
        <v>47</v>
      </c>
      <c r="D43" s="196"/>
      <c r="E43" s="196"/>
      <c r="F43" s="3">
        <f t="shared" ref="F43:S43" si="6">SUM(F40:F42)</f>
        <v>0.1</v>
      </c>
      <c r="G43" s="3">
        <f t="shared" si="6"/>
        <v>0</v>
      </c>
      <c r="H43" s="3">
        <f t="shared" si="6"/>
        <v>15</v>
      </c>
      <c r="I43" s="3">
        <f t="shared" si="6"/>
        <v>57.699999999999996</v>
      </c>
      <c r="J43" s="3">
        <f t="shared" si="6"/>
        <v>12.9</v>
      </c>
      <c r="K43" s="3">
        <f t="shared" si="6"/>
        <v>2.9</v>
      </c>
      <c r="L43" s="3">
        <f t="shared" si="6"/>
        <v>2.2000000000000002</v>
      </c>
      <c r="M43" s="3">
        <f t="shared" si="6"/>
        <v>4.12</v>
      </c>
      <c r="N43" s="3">
        <f t="shared" si="6"/>
        <v>0.4</v>
      </c>
      <c r="O43" s="3">
        <f t="shared" si="6"/>
        <v>0</v>
      </c>
      <c r="P43" s="3">
        <f t="shared" si="6"/>
        <v>0</v>
      </c>
      <c r="Q43" s="3">
        <f t="shared" si="6"/>
        <v>0</v>
      </c>
      <c r="R43" s="50">
        <f t="shared" si="6"/>
        <v>0</v>
      </c>
      <c r="S43" s="3">
        <f t="shared" si="6"/>
        <v>0</v>
      </c>
      <c r="T43" s="3"/>
      <c r="U43" s="32"/>
      <c r="V43" s="21">
        <f>SUM(V40:V42)</f>
        <v>0.93940000000000001</v>
      </c>
    </row>
    <row r="44" spans="2:22" s="26" customFormat="1" ht="25.5" x14ac:dyDescent="0.2">
      <c r="B44" s="69" t="s">
        <v>24</v>
      </c>
      <c r="C44" s="5" t="s">
        <v>105</v>
      </c>
      <c r="D44" s="3">
        <v>30</v>
      </c>
      <c r="E44" s="3">
        <v>30</v>
      </c>
      <c r="F44" s="69">
        <f>7.7*E44/100</f>
        <v>2.31</v>
      </c>
      <c r="G44" s="69">
        <f>3*E44/100</f>
        <v>0.9</v>
      </c>
      <c r="H44" s="69">
        <f>49.8*E44/100</f>
        <v>14.94</v>
      </c>
      <c r="I44" s="69">
        <f>262*E44/100</f>
        <v>78.599999999999994</v>
      </c>
      <c r="J44" s="85">
        <f>127*E44/100</f>
        <v>38.1</v>
      </c>
      <c r="K44" s="69">
        <f>26*E44/100</f>
        <v>7.8</v>
      </c>
      <c r="L44" s="69">
        <f>35*E44/100</f>
        <v>10.5</v>
      </c>
      <c r="M44" s="85">
        <f>83*E44/100</f>
        <v>24.9</v>
      </c>
      <c r="N44" s="69">
        <f>1.6*E44/100</f>
        <v>0.48</v>
      </c>
      <c r="O44" s="69">
        <f>0</f>
        <v>0</v>
      </c>
      <c r="P44" s="69">
        <f>0.16*E44/100</f>
        <v>4.8000000000000001E-2</v>
      </c>
      <c r="Q44" s="69">
        <f>0.08*E44/100</f>
        <v>2.4E-2</v>
      </c>
      <c r="R44" s="69">
        <f>1.54*E44/100</f>
        <v>0.46200000000000002</v>
      </c>
      <c r="S44" s="69">
        <v>0</v>
      </c>
      <c r="T44" s="3"/>
      <c r="U44" s="32">
        <v>29.292000000000002</v>
      </c>
      <c r="V44" s="84">
        <f>E44*U44/1000</f>
        <v>0.87875999999999999</v>
      </c>
    </row>
    <row r="45" spans="2:22" x14ac:dyDescent="0.2">
      <c r="B45" s="169"/>
      <c r="C45" s="3" t="s">
        <v>164</v>
      </c>
      <c r="D45" s="3"/>
      <c r="E45" s="21"/>
      <c r="F45" s="21">
        <v>29.312000000000001</v>
      </c>
      <c r="G45" s="21">
        <v>38.728999999999999</v>
      </c>
      <c r="H45" s="21">
        <v>109.12</v>
      </c>
      <c r="I45" s="21">
        <v>820.34</v>
      </c>
      <c r="J45" s="21">
        <v>736.51900000000001</v>
      </c>
      <c r="K45" s="21">
        <v>118.506</v>
      </c>
      <c r="L45" s="21">
        <v>138.61000000000001</v>
      </c>
      <c r="M45" s="21">
        <v>249.54</v>
      </c>
      <c r="N45" s="21">
        <v>15.58</v>
      </c>
      <c r="O45" s="21">
        <v>6.03</v>
      </c>
      <c r="P45" s="21">
        <v>6.6619999999999999</v>
      </c>
      <c r="Q45" s="21">
        <v>6.4269999999999996</v>
      </c>
      <c r="R45" s="21">
        <v>12.74</v>
      </c>
      <c r="S45" s="21">
        <v>27</v>
      </c>
      <c r="T45" s="147"/>
      <c r="U45" s="52"/>
      <c r="V45" s="258">
        <v>26.03</v>
      </c>
    </row>
    <row r="46" spans="2:22" x14ac:dyDescent="0.2">
      <c r="B46" s="69"/>
      <c r="C46" s="196" t="s">
        <v>50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70"/>
      <c r="S46" s="69"/>
      <c r="T46" s="69"/>
      <c r="U46" s="96"/>
      <c r="V46" s="84"/>
    </row>
    <row r="47" spans="2:22" x14ac:dyDescent="0.2">
      <c r="B47" s="69"/>
      <c r="C47" s="196" t="s">
        <v>163</v>
      </c>
      <c r="D47" s="159"/>
      <c r="E47" s="6"/>
      <c r="F47" s="4"/>
      <c r="G47" s="4"/>
      <c r="H47" s="4"/>
      <c r="I47" s="4"/>
      <c r="J47" s="10"/>
      <c r="K47" s="4"/>
      <c r="L47" s="4"/>
      <c r="M47" s="11"/>
      <c r="N47" s="4"/>
      <c r="O47" s="4"/>
      <c r="P47" s="4"/>
      <c r="Q47" s="4"/>
      <c r="R47" s="51"/>
      <c r="S47" s="4"/>
      <c r="T47" s="69"/>
      <c r="U47" s="96"/>
      <c r="V47" s="84"/>
    </row>
    <row r="48" spans="2:22" ht="25.5" x14ac:dyDescent="0.2">
      <c r="B48" s="123" t="s">
        <v>130</v>
      </c>
      <c r="C48" s="5" t="s">
        <v>131</v>
      </c>
      <c r="D48" s="3"/>
      <c r="E48" s="3" t="s">
        <v>132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50"/>
      <c r="S48" s="3"/>
      <c r="T48" s="3"/>
      <c r="U48" s="32"/>
      <c r="V48" s="84"/>
    </row>
    <row r="49" spans="2:22" x14ac:dyDescent="0.2">
      <c r="B49" s="123"/>
      <c r="C49" s="69" t="s">
        <v>133</v>
      </c>
      <c r="D49" s="3">
        <v>196.8</v>
      </c>
      <c r="E49" s="3">
        <v>99.2</v>
      </c>
      <c r="F49" s="3">
        <v>19</v>
      </c>
      <c r="G49" s="3">
        <v>1.7712000000000001</v>
      </c>
      <c r="H49" s="3">
        <v>0</v>
      </c>
      <c r="I49" s="3">
        <v>141.696</v>
      </c>
      <c r="J49" s="3">
        <v>826.6</v>
      </c>
      <c r="K49" s="3">
        <v>78.7</v>
      </c>
      <c r="L49" s="3">
        <v>108.24</v>
      </c>
      <c r="M49" s="7">
        <v>472.3</v>
      </c>
      <c r="N49" s="3">
        <v>1.5744</v>
      </c>
      <c r="O49" s="3">
        <v>1.968E-2</v>
      </c>
      <c r="P49" s="3">
        <v>0.21648000000000001</v>
      </c>
      <c r="Q49" s="3">
        <v>0.21648000000000001</v>
      </c>
      <c r="R49" s="3">
        <v>2.5583999999999998</v>
      </c>
      <c r="S49" s="3">
        <v>0.98399999999999999</v>
      </c>
      <c r="T49" s="3">
        <v>87.81</v>
      </c>
      <c r="U49" s="32">
        <v>13.081008000000001</v>
      </c>
      <c r="V49" s="84"/>
    </row>
    <row r="50" spans="2:22" x14ac:dyDescent="0.2">
      <c r="B50" s="123"/>
      <c r="C50" s="184" t="s">
        <v>35</v>
      </c>
      <c r="D50" s="89">
        <v>30.4</v>
      </c>
      <c r="E50" s="89">
        <v>30.4</v>
      </c>
      <c r="F50" s="82">
        <v>0</v>
      </c>
      <c r="G50" s="82">
        <v>0</v>
      </c>
      <c r="H50" s="91">
        <v>0</v>
      </c>
      <c r="I50" s="82">
        <v>0</v>
      </c>
      <c r="J50" s="83">
        <v>0</v>
      </c>
      <c r="K50" s="83">
        <v>0</v>
      </c>
      <c r="L50" s="82">
        <v>0</v>
      </c>
      <c r="M50" s="83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69">
        <v>0</v>
      </c>
      <c r="U50" s="96">
        <v>0</v>
      </c>
      <c r="V50" s="84"/>
    </row>
    <row r="51" spans="2:22" x14ac:dyDescent="0.2">
      <c r="B51" s="123"/>
      <c r="C51" s="88" t="s">
        <v>32</v>
      </c>
      <c r="D51" s="89">
        <v>43.2</v>
      </c>
      <c r="E51" s="89">
        <v>33.6</v>
      </c>
      <c r="F51" s="69">
        <v>0.4</v>
      </c>
      <c r="G51" s="69">
        <v>0</v>
      </c>
      <c r="H51" s="69">
        <v>2.2999999999999998</v>
      </c>
      <c r="I51" s="69">
        <v>11.8</v>
      </c>
      <c r="J51" s="85">
        <v>63</v>
      </c>
      <c r="K51" s="69">
        <v>16</v>
      </c>
      <c r="L51" s="69">
        <v>12</v>
      </c>
      <c r="M51" s="85">
        <v>17.3</v>
      </c>
      <c r="N51" s="69">
        <v>0.4</v>
      </c>
      <c r="O51" s="69">
        <v>2.8</v>
      </c>
      <c r="P51" s="69">
        <v>0.02</v>
      </c>
      <c r="Q51" s="69">
        <v>0.02</v>
      </c>
      <c r="R51" s="69">
        <v>0.3</v>
      </c>
      <c r="S51" s="69">
        <v>1.6</v>
      </c>
      <c r="T51" s="69">
        <v>34.6</v>
      </c>
      <c r="U51" s="96">
        <v>1.49472</v>
      </c>
      <c r="V51" s="84"/>
    </row>
    <row r="52" spans="2:22" x14ac:dyDescent="0.2">
      <c r="B52" s="123"/>
      <c r="C52" s="88" t="s">
        <v>33</v>
      </c>
      <c r="D52" s="89">
        <v>19.2</v>
      </c>
      <c r="E52" s="89">
        <v>14.4</v>
      </c>
      <c r="F52" s="69">
        <v>0.2</v>
      </c>
      <c r="G52" s="69">
        <v>0</v>
      </c>
      <c r="H52" s="69">
        <v>1.2</v>
      </c>
      <c r="I52" s="69">
        <v>5.9</v>
      </c>
      <c r="J52" s="69">
        <v>23.6</v>
      </c>
      <c r="K52" s="69">
        <v>4.2</v>
      </c>
      <c r="L52" s="69">
        <v>1.9</v>
      </c>
      <c r="M52" s="69">
        <v>7.8</v>
      </c>
      <c r="N52" s="69">
        <v>0.1</v>
      </c>
      <c r="O52" s="69">
        <v>0</v>
      </c>
      <c r="P52" s="69">
        <v>0</v>
      </c>
      <c r="Q52" s="69">
        <v>0</v>
      </c>
      <c r="R52" s="69">
        <v>0.03</v>
      </c>
      <c r="S52" s="69">
        <v>1.35</v>
      </c>
      <c r="T52" s="69">
        <v>34.229999999999997</v>
      </c>
      <c r="U52" s="96">
        <v>0.65721600000000002</v>
      </c>
      <c r="V52" s="84"/>
    </row>
    <row r="53" spans="2:22" x14ac:dyDescent="0.2">
      <c r="B53" s="123"/>
      <c r="C53" s="88" t="s">
        <v>36</v>
      </c>
      <c r="D53" s="89">
        <v>6.4</v>
      </c>
      <c r="E53" s="89">
        <v>6.4</v>
      </c>
      <c r="F53" s="69">
        <v>0.3</v>
      </c>
      <c r="G53" s="69">
        <v>0</v>
      </c>
      <c r="H53" s="69">
        <v>1.2</v>
      </c>
      <c r="I53" s="69">
        <v>6.5</v>
      </c>
      <c r="J53" s="69">
        <v>52.7</v>
      </c>
      <c r="K53" s="69">
        <v>4.7</v>
      </c>
      <c r="L53" s="69">
        <v>1.8</v>
      </c>
      <c r="M53" s="69">
        <v>4</v>
      </c>
      <c r="N53" s="69">
        <v>0.14000000000000001</v>
      </c>
      <c r="O53" s="69">
        <v>0.12</v>
      </c>
      <c r="P53" s="69">
        <v>0</v>
      </c>
      <c r="Q53" s="69">
        <v>0</v>
      </c>
      <c r="R53" s="69">
        <v>0.05</v>
      </c>
      <c r="S53" s="69">
        <v>2.7</v>
      </c>
      <c r="T53" s="69">
        <v>176.53</v>
      </c>
      <c r="U53" s="96">
        <v>1.1297919999999999</v>
      </c>
      <c r="V53" s="84"/>
    </row>
    <row r="54" spans="2:22" ht="25.5" x14ac:dyDescent="0.2">
      <c r="B54" s="123"/>
      <c r="C54" s="185" t="s">
        <v>34</v>
      </c>
      <c r="D54" s="89">
        <v>8</v>
      </c>
      <c r="E54" s="89">
        <v>8</v>
      </c>
      <c r="F54" s="69">
        <v>0</v>
      </c>
      <c r="G54" s="69">
        <v>8</v>
      </c>
      <c r="H54" s="69">
        <v>0</v>
      </c>
      <c r="I54" s="69">
        <v>72</v>
      </c>
      <c r="J54" s="86">
        <v>0</v>
      </c>
      <c r="K54" s="69">
        <v>0</v>
      </c>
      <c r="L54" s="69">
        <v>0</v>
      </c>
      <c r="M54" s="85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70.400000000000006</v>
      </c>
      <c r="U54" s="96">
        <v>0.56320000000000003</v>
      </c>
      <c r="V54" s="84"/>
    </row>
    <row r="55" spans="2:22" x14ac:dyDescent="0.2">
      <c r="B55" s="123"/>
      <c r="C55" s="186" t="s">
        <v>30</v>
      </c>
      <c r="D55" s="89">
        <v>3.2</v>
      </c>
      <c r="E55" s="89">
        <v>3.2</v>
      </c>
      <c r="F55" s="69">
        <v>0</v>
      </c>
      <c r="G55" s="69">
        <v>0</v>
      </c>
      <c r="H55" s="69">
        <v>3.1</v>
      </c>
      <c r="I55" s="69">
        <v>12.1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35.159999999999997</v>
      </c>
      <c r="U55" s="96">
        <v>0.112512</v>
      </c>
      <c r="V55" s="84"/>
    </row>
    <row r="56" spans="2:22" x14ac:dyDescent="0.2">
      <c r="B56" s="123"/>
      <c r="C56" s="185" t="s">
        <v>46</v>
      </c>
      <c r="D56" s="89">
        <v>2</v>
      </c>
      <c r="E56" s="89">
        <v>2</v>
      </c>
      <c r="F56" s="69">
        <v>0</v>
      </c>
      <c r="G56" s="69">
        <v>0</v>
      </c>
      <c r="H56" s="69">
        <v>0</v>
      </c>
      <c r="I56" s="69">
        <v>0</v>
      </c>
      <c r="J56" s="86">
        <v>0</v>
      </c>
      <c r="K56" s="69">
        <v>0</v>
      </c>
      <c r="L56" s="69">
        <v>0</v>
      </c>
      <c r="M56" s="87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11.13</v>
      </c>
      <c r="U56" s="96">
        <v>2.2259999999999999E-2</v>
      </c>
      <c r="V56" s="84"/>
    </row>
    <row r="57" spans="2:22" x14ac:dyDescent="0.2">
      <c r="B57" s="123"/>
      <c r="C57" s="185" t="s">
        <v>39</v>
      </c>
      <c r="D57" s="187">
        <v>0.01</v>
      </c>
      <c r="E57" s="187">
        <v>0.01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69">
        <v>300</v>
      </c>
      <c r="U57" s="96">
        <v>3.0000000000000001E-3</v>
      </c>
      <c r="V57" s="84"/>
    </row>
    <row r="58" spans="2:22" x14ac:dyDescent="0.2">
      <c r="B58" s="123"/>
      <c r="C58" s="6" t="s">
        <v>47</v>
      </c>
      <c r="D58" s="14"/>
      <c r="E58" s="3"/>
      <c r="F58" s="3">
        <v>19.899999999999999</v>
      </c>
      <c r="G58" s="3">
        <v>14.7712</v>
      </c>
      <c r="H58" s="3">
        <v>7.8</v>
      </c>
      <c r="I58" s="3">
        <v>249.99600000000001</v>
      </c>
      <c r="J58" s="3">
        <v>965.86</v>
      </c>
      <c r="K58" s="32">
        <v>103.62</v>
      </c>
      <c r="L58" s="7">
        <v>123.94</v>
      </c>
      <c r="M58" s="7">
        <v>501.42</v>
      </c>
      <c r="N58" s="3">
        <v>2.2143999999999999</v>
      </c>
      <c r="O58" s="3">
        <v>2.9396800000000001</v>
      </c>
      <c r="P58" s="3">
        <v>0.23648</v>
      </c>
      <c r="Q58" s="3">
        <v>0.23648</v>
      </c>
      <c r="R58" s="3">
        <v>2.9384000000000001</v>
      </c>
      <c r="S58" s="32">
        <v>6.6340000000000003</v>
      </c>
      <c r="U58" s="93">
        <v>17.063707999999998</v>
      </c>
      <c r="V58" s="84"/>
    </row>
    <row r="59" spans="2:22" x14ac:dyDescent="0.2">
      <c r="B59" s="123" t="s">
        <v>57</v>
      </c>
      <c r="C59" s="6" t="s">
        <v>58</v>
      </c>
      <c r="D59" s="20"/>
      <c r="E59" s="20">
        <v>150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V59" s="84"/>
    </row>
    <row r="60" spans="2:22" x14ac:dyDescent="0.2">
      <c r="B60" s="123"/>
      <c r="C60" s="188" t="s">
        <v>31</v>
      </c>
      <c r="D60" s="20">
        <v>170.8</v>
      </c>
      <c r="E60" s="20">
        <v>128.30000000000001</v>
      </c>
      <c r="F60" s="14">
        <v>2.5659999999999998</v>
      </c>
      <c r="G60" s="14">
        <v>0.51319999999999999</v>
      </c>
      <c r="H60" s="14">
        <v>20.9129</v>
      </c>
      <c r="I60" s="14">
        <v>98.790999999999997</v>
      </c>
      <c r="J60" s="15">
        <v>728.74400000000003</v>
      </c>
      <c r="K60" s="14">
        <v>12.83</v>
      </c>
      <c r="L60" s="14">
        <v>29.509</v>
      </c>
      <c r="M60" s="16">
        <v>74.414000000000001</v>
      </c>
      <c r="N60" s="14">
        <v>1.1547000000000001</v>
      </c>
      <c r="O60" s="14">
        <v>0</v>
      </c>
      <c r="P60" s="14">
        <v>0.15396000000000001</v>
      </c>
      <c r="Q60" s="14">
        <v>8.9810000000000001E-2</v>
      </c>
      <c r="R60" s="14">
        <v>1.6678999999999999</v>
      </c>
      <c r="S60" s="14">
        <v>25.66</v>
      </c>
      <c r="T60" s="22">
        <v>35.76</v>
      </c>
      <c r="U60" s="93">
        <v>6.1078080000000003</v>
      </c>
      <c r="V60" s="84"/>
    </row>
    <row r="61" spans="2:22" x14ac:dyDescent="0.2">
      <c r="B61" s="123"/>
      <c r="C61" s="188" t="s">
        <v>37</v>
      </c>
      <c r="D61" s="20">
        <v>5</v>
      </c>
      <c r="E61" s="20">
        <v>5</v>
      </c>
      <c r="F61" s="34">
        <v>0.04</v>
      </c>
      <c r="G61" s="34">
        <v>3.625</v>
      </c>
      <c r="H61" s="34">
        <v>6.5000000000000002E-2</v>
      </c>
      <c r="I61" s="34">
        <v>33.049999999999997</v>
      </c>
      <c r="J61" s="34">
        <v>1</v>
      </c>
      <c r="K61" s="34">
        <v>1.1000000000000001</v>
      </c>
      <c r="L61" s="34">
        <v>0.15</v>
      </c>
      <c r="M61" s="34">
        <v>1</v>
      </c>
      <c r="N61" s="34">
        <v>0.01</v>
      </c>
      <c r="O61" s="34">
        <v>2.5000000000000001E-2</v>
      </c>
      <c r="P61" s="34">
        <v>0</v>
      </c>
      <c r="Q61" s="34">
        <v>0</v>
      </c>
      <c r="R61" s="34">
        <v>5.0000000000000001E-3</v>
      </c>
      <c r="S61" s="34">
        <v>0</v>
      </c>
      <c r="T61" s="22">
        <v>300.63</v>
      </c>
      <c r="U61" s="93">
        <v>1.50315</v>
      </c>
      <c r="V61" s="69"/>
    </row>
    <row r="62" spans="2:22" x14ac:dyDescent="0.2">
      <c r="B62" s="123"/>
      <c r="C62" s="188" t="s">
        <v>29</v>
      </c>
      <c r="D62" s="20">
        <v>23.6</v>
      </c>
      <c r="E62" s="20">
        <v>22.5</v>
      </c>
      <c r="F62" s="14">
        <v>0.66080000000000005</v>
      </c>
      <c r="G62" s="14">
        <v>0.75519999999999998</v>
      </c>
      <c r="H62" s="14">
        <v>1.1092</v>
      </c>
      <c r="I62" s="14">
        <v>1.3688</v>
      </c>
      <c r="J62" s="14">
        <v>34.456000000000003</v>
      </c>
      <c r="K62" s="14">
        <v>28.32</v>
      </c>
      <c r="L62" s="14">
        <v>26.904</v>
      </c>
      <c r="M62" s="14">
        <v>2.3599999999999999E-2</v>
      </c>
      <c r="N62" s="14">
        <v>2.3599999999999999E-2</v>
      </c>
      <c r="O62" s="14">
        <v>4.7200000000000002E-3</v>
      </c>
      <c r="P62" s="14">
        <v>9.4400000000000005E-3</v>
      </c>
      <c r="Q62" s="14">
        <v>3.5400000000000001E-2</v>
      </c>
      <c r="R62" s="14">
        <v>2.3599999999999999E-2</v>
      </c>
      <c r="S62" s="14">
        <v>0.30680000000000002</v>
      </c>
      <c r="T62" s="22">
        <v>36.83</v>
      </c>
      <c r="U62" s="93">
        <v>0.86918799999999996</v>
      </c>
      <c r="V62" s="84"/>
    </row>
    <row r="63" spans="2:22" x14ac:dyDescent="0.2">
      <c r="B63" s="123"/>
      <c r="C63" s="65" t="s">
        <v>46</v>
      </c>
      <c r="D63" s="3">
        <v>1.8</v>
      </c>
      <c r="E63" s="3">
        <v>1.8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22">
        <v>11.13</v>
      </c>
      <c r="U63" s="93">
        <v>2.0034E-2</v>
      </c>
      <c r="V63" s="21"/>
    </row>
    <row r="64" spans="2:22" x14ac:dyDescent="0.2">
      <c r="B64" s="123"/>
      <c r="C64" s="5" t="s">
        <v>47</v>
      </c>
      <c r="D64" s="3"/>
      <c r="E64" s="3"/>
      <c r="F64" s="3">
        <v>3.2667999999999999</v>
      </c>
      <c r="G64" s="14">
        <v>9.8933999999999997</v>
      </c>
      <c r="H64" s="14">
        <v>22.0871</v>
      </c>
      <c r="I64" s="14">
        <v>133.2098</v>
      </c>
      <c r="J64" s="14">
        <v>764.35</v>
      </c>
      <c r="K64" s="14">
        <v>42.25</v>
      </c>
      <c r="L64" s="14">
        <v>56.563000000000002</v>
      </c>
      <c r="M64" s="14">
        <v>75.387600000000006</v>
      </c>
      <c r="N64" s="14">
        <v>1.1882999999999999</v>
      </c>
      <c r="O64" s="14">
        <v>2.972E-2</v>
      </c>
      <c r="P64" s="14">
        <v>0.16339999999999999</v>
      </c>
      <c r="Q64" s="14">
        <v>0.12526000000000001</v>
      </c>
      <c r="R64" s="14">
        <v>1.6964999999999999</v>
      </c>
      <c r="S64" s="14">
        <v>25.966799999999999</v>
      </c>
      <c r="U64" s="93">
        <v>8.5001800000000003</v>
      </c>
      <c r="V64" s="84"/>
    </row>
    <row r="65" spans="2:22" x14ac:dyDescent="0.2">
      <c r="B65" s="123" t="s">
        <v>134</v>
      </c>
      <c r="C65" s="5" t="s">
        <v>135</v>
      </c>
      <c r="D65" s="14"/>
      <c r="E65" s="14">
        <v>200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V65" s="52"/>
    </row>
    <row r="66" spans="2:22" x14ac:dyDescent="0.2">
      <c r="B66" s="123"/>
      <c r="C66" s="17" t="s">
        <v>136</v>
      </c>
      <c r="D66" s="14">
        <v>20</v>
      </c>
      <c r="E66" s="14">
        <v>50</v>
      </c>
      <c r="F66" s="14">
        <v>0</v>
      </c>
      <c r="G66" s="14">
        <v>0</v>
      </c>
      <c r="H66" s="14">
        <v>0</v>
      </c>
      <c r="I66" s="14">
        <v>28.2</v>
      </c>
      <c r="J66" s="14">
        <v>0</v>
      </c>
      <c r="K66" s="14">
        <v>0.2</v>
      </c>
      <c r="L66" s="14">
        <v>0</v>
      </c>
      <c r="M66" s="14">
        <v>0</v>
      </c>
      <c r="N66" s="14">
        <v>0.03</v>
      </c>
      <c r="O66" s="14">
        <v>0</v>
      </c>
      <c r="P66" s="14">
        <v>0</v>
      </c>
      <c r="Q66" s="14">
        <v>0</v>
      </c>
      <c r="R66" s="14">
        <v>0</v>
      </c>
      <c r="S66" s="14">
        <v>0.04</v>
      </c>
      <c r="T66" s="22">
        <v>60</v>
      </c>
      <c r="U66" s="93">
        <v>1.2</v>
      </c>
      <c r="V66" s="52"/>
    </row>
    <row r="67" spans="2:22" x14ac:dyDescent="0.2">
      <c r="B67" s="123"/>
      <c r="C67" s="17" t="s">
        <v>30</v>
      </c>
      <c r="D67" s="14">
        <v>20</v>
      </c>
      <c r="E67" s="14">
        <v>20</v>
      </c>
      <c r="F67" s="14">
        <v>0</v>
      </c>
      <c r="G67" s="14">
        <v>0</v>
      </c>
      <c r="H67" s="14">
        <v>19.98</v>
      </c>
      <c r="I67" s="14">
        <v>75.8</v>
      </c>
      <c r="J67" s="14">
        <v>0.6</v>
      </c>
      <c r="K67" s="14">
        <v>0.2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22">
        <v>35.159999999999997</v>
      </c>
      <c r="U67" s="93">
        <v>0.70320000000000005</v>
      </c>
      <c r="V67" s="52"/>
    </row>
    <row r="68" spans="2:22" x14ac:dyDescent="0.2">
      <c r="B68" s="123"/>
      <c r="C68" s="17" t="s">
        <v>35</v>
      </c>
      <c r="D68" s="14">
        <v>200</v>
      </c>
      <c r="E68" s="14">
        <v>200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22">
        <v>0</v>
      </c>
      <c r="U68" s="93">
        <v>0</v>
      </c>
      <c r="V68" s="52"/>
    </row>
    <row r="69" spans="2:22" s="26" customFormat="1" x14ac:dyDescent="0.2">
      <c r="B69" s="123"/>
      <c r="C69" s="17" t="s">
        <v>137</v>
      </c>
      <c r="D69" s="14">
        <v>0.2</v>
      </c>
      <c r="E69" s="14">
        <v>0.2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0.2</v>
      </c>
      <c r="T69" s="22">
        <v>300</v>
      </c>
      <c r="U69" s="93">
        <v>0.06</v>
      </c>
      <c r="V69" s="52"/>
    </row>
    <row r="70" spans="2:22" s="26" customFormat="1" x14ac:dyDescent="0.2">
      <c r="B70" s="125"/>
      <c r="C70" s="28" t="s">
        <v>47</v>
      </c>
      <c r="D70" s="29"/>
      <c r="E70" s="29"/>
      <c r="F70" s="29">
        <v>0</v>
      </c>
      <c r="G70" s="29">
        <v>0</v>
      </c>
      <c r="H70" s="29">
        <v>19.98</v>
      </c>
      <c r="I70" s="29">
        <v>104</v>
      </c>
      <c r="J70" s="29">
        <v>0.6</v>
      </c>
      <c r="K70" s="29">
        <v>0.4</v>
      </c>
      <c r="L70" s="29">
        <v>0</v>
      </c>
      <c r="M70" s="29">
        <v>0</v>
      </c>
      <c r="N70" s="29">
        <v>0.03</v>
      </c>
      <c r="O70" s="29">
        <v>0</v>
      </c>
      <c r="P70" s="29">
        <v>0</v>
      </c>
      <c r="Q70" s="29">
        <v>0</v>
      </c>
      <c r="R70" s="29">
        <v>0</v>
      </c>
      <c r="S70" s="29">
        <v>0.24</v>
      </c>
      <c r="T70" s="3"/>
      <c r="U70" s="32">
        <v>1.9632000000000001</v>
      </c>
      <c r="V70" s="21"/>
    </row>
    <row r="71" spans="2:22" ht="25.5" x14ac:dyDescent="0.2">
      <c r="B71" s="69"/>
      <c r="C71" s="5" t="s">
        <v>105</v>
      </c>
      <c r="D71" s="69">
        <v>30</v>
      </c>
      <c r="E71" s="69">
        <v>30</v>
      </c>
      <c r="F71" s="69">
        <v>1.54</v>
      </c>
      <c r="G71" s="69">
        <v>0.6</v>
      </c>
      <c r="H71" s="69">
        <v>9.9600000000000009</v>
      </c>
      <c r="I71" s="69">
        <v>52.4</v>
      </c>
      <c r="J71" s="69">
        <v>25.4</v>
      </c>
      <c r="K71" s="69">
        <v>5.2</v>
      </c>
      <c r="L71" s="69">
        <v>7</v>
      </c>
      <c r="M71" s="69">
        <v>16.600000000000001</v>
      </c>
      <c r="N71" s="69">
        <v>0.32</v>
      </c>
      <c r="O71" s="69">
        <v>0</v>
      </c>
      <c r="P71" s="69">
        <v>3.2000000000000001E-2</v>
      </c>
      <c r="Q71" s="69">
        <v>1.6E-2</v>
      </c>
      <c r="R71" s="69">
        <v>0.308</v>
      </c>
      <c r="S71" s="69">
        <v>0</v>
      </c>
      <c r="T71" s="69">
        <v>29.29</v>
      </c>
      <c r="U71" s="96">
        <v>0.58584000000000003</v>
      </c>
      <c r="V71" s="96">
        <v>0.74360000000000004</v>
      </c>
    </row>
    <row r="72" spans="2:22" x14ac:dyDescent="0.2">
      <c r="B72" s="69" t="s">
        <v>24</v>
      </c>
      <c r="C72" s="39" t="s">
        <v>106</v>
      </c>
      <c r="D72" s="3">
        <v>20</v>
      </c>
      <c r="E72" s="3">
        <v>20</v>
      </c>
      <c r="F72" s="3">
        <v>1.32</v>
      </c>
      <c r="G72" s="3">
        <v>0.24</v>
      </c>
      <c r="H72" s="3">
        <v>6.84</v>
      </c>
      <c r="I72" s="3">
        <v>36.200000000000003</v>
      </c>
      <c r="J72" s="3">
        <v>18.8</v>
      </c>
      <c r="K72" s="3">
        <v>6.8</v>
      </c>
      <c r="L72" s="3">
        <v>8.1999999999999993</v>
      </c>
      <c r="M72" s="3">
        <v>24</v>
      </c>
      <c r="N72" s="3">
        <v>0.46</v>
      </c>
      <c r="O72" s="3">
        <v>0</v>
      </c>
      <c r="P72" s="3">
        <v>2.1999999999999999E-2</v>
      </c>
      <c r="Q72" s="3">
        <v>1.6E-2</v>
      </c>
      <c r="R72" s="3">
        <v>0.128</v>
      </c>
      <c r="S72" s="3">
        <v>0</v>
      </c>
      <c r="T72" s="69">
        <v>35.9</v>
      </c>
      <c r="U72" s="96">
        <v>0.71799999999999997</v>
      </c>
      <c r="V72" s="96">
        <v>5.8680159999999999</v>
      </c>
    </row>
    <row r="73" spans="2:22" ht="12" customHeight="1" x14ac:dyDescent="0.2">
      <c r="B73" s="69"/>
      <c r="C73" s="156"/>
      <c r="D73" s="84"/>
      <c r="E73" s="84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96"/>
      <c r="V73" s="84"/>
    </row>
    <row r="74" spans="2:22" ht="12" customHeight="1" x14ac:dyDescent="0.2">
      <c r="B74" s="69"/>
      <c r="C74" s="3" t="s">
        <v>164</v>
      </c>
      <c r="D74" s="3"/>
      <c r="E74" s="3"/>
      <c r="F74" s="3">
        <v>28.005120000000002</v>
      </c>
      <c r="G74" s="3">
        <v>29.980799999999999</v>
      </c>
      <c r="H74" s="3">
        <v>78.219300000000004</v>
      </c>
      <c r="I74" s="3">
        <v>633.77380000000005</v>
      </c>
      <c r="J74" s="3">
        <v>1793.8920000000001</v>
      </c>
      <c r="K74" s="3">
        <v>140.64400000000001</v>
      </c>
      <c r="L74" s="3">
        <v>168.53100000000001</v>
      </c>
      <c r="M74" s="3">
        <v>464.49959999999999</v>
      </c>
      <c r="N74" s="3">
        <v>4.1574999999999998</v>
      </c>
      <c r="O74" s="3">
        <v>4.1079999999999998E-2</v>
      </c>
      <c r="P74" s="3">
        <v>0.44456000000000001</v>
      </c>
      <c r="Q74" s="3">
        <v>0.34487000000000001</v>
      </c>
      <c r="R74" s="3">
        <v>4.9239800000000002</v>
      </c>
      <c r="S74" s="3">
        <v>42.1648</v>
      </c>
      <c r="T74" s="69"/>
      <c r="U74" s="96"/>
      <c r="V74" s="21">
        <v>27.37</v>
      </c>
    </row>
    <row r="75" spans="2:22" ht="12" customHeight="1" x14ac:dyDescent="0.2">
      <c r="B75" s="69"/>
      <c r="C75" s="196" t="s">
        <v>53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70"/>
      <c r="S75" s="69"/>
      <c r="T75" s="69"/>
      <c r="U75" s="96"/>
      <c r="V75" s="84"/>
    </row>
    <row r="76" spans="2:22" s="26" customFormat="1" x14ac:dyDescent="0.2">
      <c r="B76" s="69"/>
      <c r="C76" s="196" t="s">
        <v>163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70"/>
      <c r="S76" s="69"/>
      <c r="T76" s="69"/>
      <c r="U76" s="96"/>
      <c r="V76" s="84"/>
    </row>
    <row r="77" spans="2:22" s="26" customFormat="1" ht="25.5" x14ac:dyDescent="0.2">
      <c r="B77" s="30" t="s">
        <v>121</v>
      </c>
      <c r="C77" s="28" t="s">
        <v>122</v>
      </c>
      <c r="D77" s="31"/>
      <c r="E77" s="29">
        <v>75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69"/>
      <c r="U77" s="94"/>
      <c r="V77" s="84"/>
    </row>
    <row r="78" spans="2:22" s="26" customFormat="1" x14ac:dyDescent="0.2">
      <c r="B78" s="30"/>
      <c r="C78" s="78" t="s">
        <v>123</v>
      </c>
      <c r="D78" s="34">
        <v>147</v>
      </c>
      <c r="E78" s="34">
        <v>106</v>
      </c>
      <c r="F78" s="36">
        <f>18.7*E78/100</f>
        <v>19.821999999999999</v>
      </c>
      <c r="G78" s="36">
        <f>16.1*E78/100</f>
        <v>17.066000000000003</v>
      </c>
      <c r="H78" s="36">
        <v>0</v>
      </c>
      <c r="I78" s="36">
        <f>220*E78/100</f>
        <v>233.2</v>
      </c>
      <c r="J78" s="37">
        <f>236*E78/100</f>
        <v>250.16</v>
      </c>
      <c r="K78" s="36">
        <f>14*E78/100</f>
        <v>14.84</v>
      </c>
      <c r="L78" s="36">
        <f>19*E78/100</f>
        <v>20.14</v>
      </c>
      <c r="M78" s="36">
        <f>160*E78/100</f>
        <v>169.6</v>
      </c>
      <c r="N78" s="36">
        <f>1.3*E78/100</f>
        <v>1.3780000000000001</v>
      </c>
      <c r="O78" s="36">
        <v>0</v>
      </c>
      <c r="P78" s="36">
        <v>0</v>
      </c>
      <c r="Q78" s="36">
        <v>0</v>
      </c>
      <c r="R78" s="36">
        <f>6.1*E78/100</f>
        <v>6.4659999999999993</v>
      </c>
      <c r="S78" s="36">
        <f>2*E78/100</f>
        <v>2.12</v>
      </c>
      <c r="T78" s="69">
        <v>329.42</v>
      </c>
      <c r="U78" s="92">
        <v>141.57</v>
      </c>
      <c r="V78" s="84">
        <f t="shared" ref="V78:V89" si="7">D78*U78/1000</f>
        <v>20.810789999999997</v>
      </c>
    </row>
    <row r="79" spans="2:22" s="26" customFormat="1" ht="25.5" x14ac:dyDescent="0.2">
      <c r="B79" s="31"/>
      <c r="C79" s="78" t="s">
        <v>34</v>
      </c>
      <c r="D79" s="34">
        <v>2.5</v>
      </c>
      <c r="E79" s="34">
        <v>2.5</v>
      </c>
      <c r="F79" s="69">
        <v>0</v>
      </c>
      <c r="G79" s="69">
        <f>99.9*E79/100</f>
        <v>2.4975000000000001</v>
      </c>
      <c r="H79" s="69">
        <v>0</v>
      </c>
      <c r="I79" s="69">
        <f>899*E79/100</f>
        <v>22.475000000000001</v>
      </c>
      <c r="J79" s="85">
        <v>0</v>
      </c>
      <c r="K79" s="69">
        <v>0</v>
      </c>
      <c r="L79" s="69">
        <v>0</v>
      </c>
      <c r="M79" s="85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29.98</v>
      </c>
      <c r="U79" s="92">
        <v>83.43</v>
      </c>
      <c r="V79" s="84">
        <f t="shared" si="7"/>
        <v>0.20857500000000001</v>
      </c>
    </row>
    <row r="80" spans="2:22" ht="18" customHeight="1" x14ac:dyDescent="0.2">
      <c r="B80" s="136" t="s">
        <v>98</v>
      </c>
      <c r="C80" s="71" t="s">
        <v>99</v>
      </c>
      <c r="D80" s="34"/>
      <c r="E80" s="79">
        <v>75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69">
        <v>35.71</v>
      </c>
      <c r="U80" s="92"/>
      <c r="V80" s="84">
        <f t="shared" si="7"/>
        <v>0</v>
      </c>
    </row>
    <row r="81" spans="2:22" ht="12.75" customHeight="1" x14ac:dyDescent="0.2">
      <c r="B81" s="136"/>
      <c r="C81" s="30" t="s">
        <v>100</v>
      </c>
      <c r="D81" s="34">
        <v>75</v>
      </c>
      <c r="E81" s="34">
        <v>75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23.05</v>
      </c>
      <c r="U81" s="92">
        <v>0</v>
      </c>
      <c r="V81" s="84">
        <f t="shared" si="7"/>
        <v>0</v>
      </c>
    </row>
    <row r="82" spans="2:22" ht="12.75" customHeight="1" x14ac:dyDescent="0.2">
      <c r="B82" s="136"/>
      <c r="C82" s="30" t="s">
        <v>34</v>
      </c>
      <c r="D82" s="34">
        <v>1.5</v>
      </c>
      <c r="E82" s="34">
        <v>1.5</v>
      </c>
      <c r="F82" s="69">
        <v>0</v>
      </c>
      <c r="G82" s="69">
        <f>99.9*E82/100</f>
        <v>1.4985000000000002</v>
      </c>
      <c r="H82" s="69">
        <v>0</v>
      </c>
      <c r="I82" s="69">
        <f>899*E82/100</f>
        <v>13.484999999999999</v>
      </c>
      <c r="J82" s="85">
        <v>0</v>
      </c>
      <c r="K82" s="69">
        <v>0</v>
      </c>
      <c r="L82" s="69">
        <v>0</v>
      </c>
      <c r="M82" s="85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297.44</v>
      </c>
      <c r="U82" s="92">
        <v>83.43</v>
      </c>
      <c r="V82" s="84">
        <f t="shared" si="7"/>
        <v>0.12514500000000001</v>
      </c>
    </row>
    <row r="83" spans="2:22" ht="12.75" customHeight="1" x14ac:dyDescent="0.2">
      <c r="B83" s="136"/>
      <c r="C83" s="30" t="s">
        <v>38</v>
      </c>
      <c r="D83" s="34">
        <v>3.8</v>
      </c>
      <c r="E83" s="34">
        <v>3.8</v>
      </c>
      <c r="F83" s="69">
        <f>10.3*E83/100</f>
        <v>0.39140000000000003</v>
      </c>
      <c r="G83" s="69">
        <f>1.1*E83/100</f>
        <v>4.1799999999999997E-2</v>
      </c>
      <c r="H83" s="69">
        <f>69*E83/100</f>
        <v>2.6219999999999999</v>
      </c>
      <c r="I83" s="69">
        <f>334*E83/100</f>
        <v>12.692</v>
      </c>
      <c r="J83" s="85">
        <f>176*E83/100</f>
        <v>6.6879999999999997</v>
      </c>
      <c r="K83" s="69">
        <f>24*E83/100</f>
        <v>0.91199999999999992</v>
      </c>
      <c r="L83" s="69">
        <f>44*E83/100</f>
        <v>1.6719999999999999</v>
      </c>
      <c r="M83" s="85">
        <f>115*E83/100</f>
        <v>4.37</v>
      </c>
      <c r="N83" s="69">
        <f>2.1*E83/100</f>
        <v>7.9799999999999996E-2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29.98</v>
      </c>
      <c r="U83" s="92">
        <v>27.31</v>
      </c>
      <c r="V83" s="84">
        <f t="shared" si="7"/>
        <v>0.103778</v>
      </c>
    </row>
    <row r="84" spans="2:22" ht="12.75" customHeight="1" x14ac:dyDescent="0.2">
      <c r="B84" s="136"/>
      <c r="C84" s="30" t="s">
        <v>36</v>
      </c>
      <c r="D84" s="34">
        <v>3</v>
      </c>
      <c r="E84" s="34">
        <v>3</v>
      </c>
      <c r="F84" s="34">
        <f>4.8*E84/100</f>
        <v>0.14399999999999999</v>
      </c>
      <c r="G84" s="34">
        <v>0</v>
      </c>
      <c r="H84" s="34">
        <f>19*E84/100</f>
        <v>0.56999999999999995</v>
      </c>
      <c r="I84" s="34">
        <f>102*E84/100</f>
        <v>3.06</v>
      </c>
      <c r="J84" s="34">
        <f>875*E84/100</f>
        <v>26.25</v>
      </c>
      <c r="K84" s="34">
        <f>20*E84/100</f>
        <v>0.6</v>
      </c>
      <c r="L84" s="34">
        <f>50*E84/100</f>
        <v>1.5</v>
      </c>
      <c r="M84" s="34">
        <f>68*E84/100</f>
        <v>2.04</v>
      </c>
      <c r="N84" s="34">
        <f>2.3*E84/100</f>
        <v>6.8999999999999992E-2</v>
      </c>
      <c r="O84" s="34">
        <v>0</v>
      </c>
      <c r="P84" s="34">
        <v>0</v>
      </c>
      <c r="Q84" s="34">
        <v>0</v>
      </c>
      <c r="R84" s="34">
        <v>0</v>
      </c>
      <c r="S84" s="34">
        <f>45*E84/100</f>
        <v>1.35</v>
      </c>
      <c r="T84" s="69">
        <v>11.03</v>
      </c>
      <c r="U84" s="92">
        <v>120</v>
      </c>
      <c r="V84" s="84">
        <f t="shared" si="7"/>
        <v>0.36</v>
      </c>
    </row>
    <row r="85" spans="2:22" ht="12.75" customHeight="1" x14ac:dyDescent="0.2">
      <c r="B85" s="136"/>
      <c r="C85" s="30" t="s">
        <v>32</v>
      </c>
      <c r="D85" s="34">
        <v>7.5</v>
      </c>
      <c r="E85" s="34">
        <v>6</v>
      </c>
      <c r="F85" s="34">
        <f>1.3*E85/100</f>
        <v>7.8000000000000014E-2</v>
      </c>
      <c r="G85" s="34">
        <v>0</v>
      </c>
      <c r="H85" s="34">
        <f>6.9*E85/100</f>
        <v>0.41400000000000003</v>
      </c>
      <c r="I85" s="34">
        <f>35*E85/100</f>
        <v>2.1</v>
      </c>
      <c r="J85" s="34">
        <f>200*E85/100</f>
        <v>12</v>
      </c>
      <c r="K85" s="34">
        <f>27*E85/100</f>
        <v>1.62</v>
      </c>
      <c r="L85" s="34">
        <f>38*E85/100</f>
        <v>2.2799999999999998</v>
      </c>
      <c r="M85" s="34">
        <f>55*E85/100</f>
        <v>3.3</v>
      </c>
      <c r="N85" s="34">
        <v>0</v>
      </c>
      <c r="O85" s="34">
        <v>0</v>
      </c>
      <c r="P85" s="34">
        <v>0</v>
      </c>
      <c r="Q85" s="34">
        <v>0</v>
      </c>
      <c r="R85" s="34">
        <f>1*E85/100</f>
        <v>0.06</v>
      </c>
      <c r="S85" s="34">
        <f>5*E85/100</f>
        <v>0.3</v>
      </c>
      <c r="T85" s="69"/>
      <c r="U85" s="92">
        <v>32.71</v>
      </c>
      <c r="V85" s="84">
        <f t="shared" si="7"/>
        <v>0.24532500000000002</v>
      </c>
    </row>
    <row r="86" spans="2:22" ht="12.75" customHeight="1" x14ac:dyDescent="0.2">
      <c r="B86" s="136"/>
      <c r="C86" s="30" t="s">
        <v>33</v>
      </c>
      <c r="D86" s="159">
        <v>1.8</v>
      </c>
      <c r="E86" s="160">
        <v>1.5</v>
      </c>
      <c r="F86" s="69">
        <f>1.4*E86/100</f>
        <v>2.0999999999999998E-2</v>
      </c>
      <c r="G86" s="157">
        <v>0</v>
      </c>
      <c r="H86" s="157">
        <f>8.2*E86/100</f>
        <v>0.12299999999999998</v>
      </c>
      <c r="I86" s="157">
        <f>41*E86/100</f>
        <v>0.61499999999999999</v>
      </c>
      <c r="J86" s="158">
        <f>175*E86/100</f>
        <v>2.625</v>
      </c>
      <c r="K86" s="157">
        <f>31*E86/100</f>
        <v>0.46500000000000002</v>
      </c>
      <c r="L86" s="157">
        <f>14*E86/100</f>
        <v>0.21</v>
      </c>
      <c r="M86" s="158">
        <f>58*E86/100</f>
        <v>0.87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f>10*E86/100</f>
        <v>0.15</v>
      </c>
      <c r="T86" s="69"/>
      <c r="U86" s="92">
        <v>29.62</v>
      </c>
      <c r="V86" s="84">
        <f t="shared" si="7"/>
        <v>5.3316000000000002E-2</v>
      </c>
    </row>
    <row r="87" spans="2:22" ht="12.75" customHeight="1" x14ac:dyDescent="0.2">
      <c r="B87" s="136"/>
      <c r="C87" s="30" t="s">
        <v>30</v>
      </c>
      <c r="D87" s="69">
        <v>1.1000000000000001</v>
      </c>
      <c r="E87" s="69">
        <v>1.1000000000000001</v>
      </c>
      <c r="F87" s="84">
        <v>0</v>
      </c>
      <c r="G87" s="84">
        <v>0</v>
      </c>
      <c r="H87" s="84">
        <f>99.8*E87/100</f>
        <v>1.0978000000000001</v>
      </c>
      <c r="I87" s="84">
        <f>379*E87/100</f>
        <v>4.1690000000000005</v>
      </c>
      <c r="J87" s="84">
        <f>3*E87/100</f>
        <v>3.3000000000000002E-2</v>
      </c>
      <c r="K87" s="84">
        <f>2*E87/100</f>
        <v>2.2000000000000002E-2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0</v>
      </c>
      <c r="S87" s="84">
        <v>0</v>
      </c>
      <c r="T87" s="69">
        <v>0</v>
      </c>
      <c r="U87" s="92">
        <v>50.97</v>
      </c>
      <c r="V87" s="84">
        <f t="shared" si="7"/>
        <v>5.6066999999999999E-2</v>
      </c>
    </row>
    <row r="88" spans="2:22" ht="12.75" customHeight="1" x14ac:dyDescent="0.2">
      <c r="B88" s="136"/>
      <c r="C88" s="30" t="s">
        <v>46</v>
      </c>
      <c r="D88" s="69">
        <v>0.75</v>
      </c>
      <c r="E88" s="69">
        <v>0.75</v>
      </c>
      <c r="F88" s="69">
        <v>0</v>
      </c>
      <c r="G88" s="69">
        <v>0</v>
      </c>
      <c r="H88" s="69">
        <v>0</v>
      </c>
      <c r="I88" s="69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69">
        <v>71.02</v>
      </c>
      <c r="U88" s="92">
        <v>11.63</v>
      </c>
      <c r="V88" s="84">
        <f t="shared" si="7"/>
        <v>8.7224999999999994E-3</v>
      </c>
    </row>
    <row r="89" spans="2:22" ht="12.75" customHeight="1" x14ac:dyDescent="0.2">
      <c r="B89" s="136"/>
      <c r="C89" s="76" t="s">
        <v>39</v>
      </c>
      <c r="D89" s="69">
        <v>1.4999999999999999E-2</v>
      </c>
      <c r="E89" s="69">
        <v>1.4999999999999999E-2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24.11</v>
      </c>
      <c r="U89" s="92">
        <v>300</v>
      </c>
      <c r="V89" s="84">
        <f t="shared" si="7"/>
        <v>4.4999999999999997E-3</v>
      </c>
    </row>
    <row r="90" spans="2:22" ht="12.75" customHeight="1" x14ac:dyDescent="0.2">
      <c r="B90" s="136"/>
      <c r="C90" s="71" t="s">
        <v>77</v>
      </c>
      <c r="D90" s="69"/>
      <c r="E90" s="69"/>
      <c r="F90" s="3">
        <f t="shared" ref="F90:S90" si="8">SUM(F81:F89)+F78+F79</f>
        <v>20.456399999999999</v>
      </c>
      <c r="G90" s="3">
        <f t="shared" si="8"/>
        <v>21.103800000000003</v>
      </c>
      <c r="H90" s="3">
        <f t="shared" si="8"/>
        <v>4.8267999999999995</v>
      </c>
      <c r="I90" s="3">
        <f t="shared" si="8"/>
        <v>291.79599999999999</v>
      </c>
      <c r="J90" s="3">
        <f t="shared" si="8"/>
        <v>297.75599999999997</v>
      </c>
      <c r="K90" s="3">
        <f t="shared" si="8"/>
        <v>18.459</v>
      </c>
      <c r="L90" s="3">
        <f t="shared" si="8"/>
        <v>25.802</v>
      </c>
      <c r="M90" s="3">
        <f t="shared" si="8"/>
        <v>180.18</v>
      </c>
      <c r="N90" s="3">
        <f t="shared" si="8"/>
        <v>1.5268000000000002</v>
      </c>
      <c r="O90" s="3">
        <f t="shared" si="8"/>
        <v>0</v>
      </c>
      <c r="P90" s="3">
        <f t="shared" si="8"/>
        <v>0</v>
      </c>
      <c r="Q90" s="3">
        <f t="shared" si="8"/>
        <v>0</v>
      </c>
      <c r="R90" s="3">
        <f t="shared" si="8"/>
        <v>6.5259999999999989</v>
      </c>
      <c r="S90" s="3">
        <f t="shared" si="8"/>
        <v>3.92</v>
      </c>
      <c r="T90" s="69">
        <v>160.44999999999999</v>
      </c>
      <c r="U90" s="92"/>
      <c r="V90" s="21">
        <v>21.98</v>
      </c>
    </row>
    <row r="91" spans="2:22" ht="12.75" customHeight="1" x14ac:dyDescent="0.2">
      <c r="B91" s="144" t="s">
        <v>6</v>
      </c>
      <c r="C91" s="5" t="s">
        <v>118</v>
      </c>
      <c r="D91" s="69"/>
      <c r="E91" s="3">
        <v>150</v>
      </c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>
        <v>28.06</v>
      </c>
      <c r="U91" s="92"/>
      <c r="V91" s="84"/>
    </row>
    <row r="92" spans="2:22" ht="12.75" customHeight="1" x14ac:dyDescent="0.2">
      <c r="B92" s="144"/>
      <c r="C92" s="65" t="s">
        <v>86</v>
      </c>
      <c r="D92" s="69">
        <v>58.2</v>
      </c>
      <c r="E92" s="69">
        <v>58.2</v>
      </c>
      <c r="F92" s="69">
        <f>12.5*E92/100</f>
        <v>7.2750000000000004</v>
      </c>
      <c r="G92" s="69">
        <v>0</v>
      </c>
      <c r="H92" s="69">
        <f>71.8*E92/100</f>
        <v>41.787600000000005</v>
      </c>
      <c r="I92" s="69">
        <f>326*E92/100</f>
        <v>189.732</v>
      </c>
      <c r="J92" s="69">
        <v>0</v>
      </c>
      <c r="K92" s="69">
        <v>0</v>
      </c>
      <c r="L92" s="69">
        <v>0</v>
      </c>
      <c r="M92" s="69">
        <f>276*E92/100</f>
        <v>160.63200000000001</v>
      </c>
      <c r="N92" s="69">
        <f>6.7*E92/100</f>
        <v>3.8994000000000004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25.73</v>
      </c>
      <c r="U92" s="92">
        <v>26.62</v>
      </c>
      <c r="V92" s="84">
        <f>D92*U92/1000</f>
        <v>1.5492840000000001</v>
      </c>
    </row>
    <row r="93" spans="2:22" ht="12.75" customHeight="1" x14ac:dyDescent="0.2">
      <c r="B93" s="144"/>
      <c r="C93" s="65" t="s">
        <v>46</v>
      </c>
      <c r="D93" s="69">
        <v>0.3</v>
      </c>
      <c r="E93" s="69">
        <v>0.3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30.63</v>
      </c>
      <c r="U93" s="92">
        <v>11.63</v>
      </c>
      <c r="V93" s="84">
        <f>D93*U93/1000</f>
        <v>3.4890000000000003E-3</v>
      </c>
    </row>
    <row r="94" spans="2:22" ht="12.75" customHeight="1" x14ac:dyDescent="0.2">
      <c r="B94" s="144"/>
      <c r="C94" s="65" t="s">
        <v>37</v>
      </c>
      <c r="D94" s="69">
        <v>5</v>
      </c>
      <c r="E94" s="69">
        <v>5</v>
      </c>
      <c r="F94" s="69">
        <f>0.8*E94/100</f>
        <v>0.04</v>
      </c>
      <c r="G94" s="69">
        <f>72.5*E94/100</f>
        <v>3.625</v>
      </c>
      <c r="H94" s="69">
        <f>1.3*E94/100</f>
        <v>6.5000000000000002E-2</v>
      </c>
      <c r="I94" s="69">
        <f>661*E94/100</f>
        <v>33.049999999999997</v>
      </c>
      <c r="J94" s="86">
        <f>23*E94/100</f>
        <v>1.1499999999999999</v>
      </c>
      <c r="K94" s="69">
        <f>22*E94/100</f>
        <v>1.1000000000000001</v>
      </c>
      <c r="L94" s="69">
        <f>3*E94/100</f>
        <v>0.15</v>
      </c>
      <c r="M94" s="85">
        <f>19*E94/100</f>
        <v>0.95</v>
      </c>
      <c r="N94" s="69">
        <f>0.2*E94/100</f>
        <v>0.01</v>
      </c>
      <c r="O94" s="69">
        <f>0.5*E94/100</f>
        <v>2.5000000000000001E-2</v>
      </c>
      <c r="P94" s="69">
        <f>0</f>
        <v>0</v>
      </c>
      <c r="Q94" s="96">
        <f>0.01*E94/1000</f>
        <v>5.0000000000000002E-5</v>
      </c>
      <c r="R94" s="69">
        <f>0.1*E94/100</f>
        <v>5.0000000000000001E-3</v>
      </c>
      <c r="S94" s="69">
        <f>0</f>
        <v>0</v>
      </c>
      <c r="T94" s="69">
        <v>11.03</v>
      </c>
      <c r="U94" s="92">
        <v>337.78</v>
      </c>
      <c r="V94" s="84">
        <f>D94*U94/1000</f>
        <v>1.6888999999999998</v>
      </c>
    </row>
    <row r="95" spans="2:22" ht="12.75" customHeight="1" x14ac:dyDescent="0.2">
      <c r="B95" s="144"/>
      <c r="C95" s="71" t="s">
        <v>77</v>
      </c>
      <c r="D95" s="84"/>
      <c r="E95" s="84"/>
      <c r="F95" s="21">
        <f>F92+F93+F94</f>
        <v>7.3150000000000004</v>
      </c>
      <c r="G95" s="21">
        <f t="shared" ref="G95:S95" si="9">G92+G93+G94</f>
        <v>3.625</v>
      </c>
      <c r="H95" s="21">
        <f t="shared" si="9"/>
        <v>41.852600000000002</v>
      </c>
      <c r="I95" s="21">
        <f t="shared" si="9"/>
        <v>222.78199999999998</v>
      </c>
      <c r="J95" s="21">
        <f t="shared" si="9"/>
        <v>1.1499999999999999</v>
      </c>
      <c r="K95" s="21">
        <f t="shared" si="9"/>
        <v>1.1000000000000001</v>
      </c>
      <c r="L95" s="21">
        <f t="shared" si="9"/>
        <v>0.15</v>
      </c>
      <c r="M95" s="21">
        <f t="shared" si="9"/>
        <v>161.58199999999999</v>
      </c>
      <c r="N95" s="21">
        <f t="shared" si="9"/>
        <v>3.9094000000000002</v>
      </c>
      <c r="O95" s="21">
        <f t="shared" si="9"/>
        <v>2.5000000000000001E-2</v>
      </c>
      <c r="P95" s="21">
        <f t="shared" si="9"/>
        <v>0</v>
      </c>
      <c r="Q95" s="21">
        <f t="shared" si="9"/>
        <v>5.0000000000000002E-5</v>
      </c>
      <c r="R95" s="21">
        <f t="shared" si="9"/>
        <v>5.0000000000000001E-3</v>
      </c>
      <c r="S95" s="21">
        <f t="shared" si="9"/>
        <v>0</v>
      </c>
      <c r="T95" s="69">
        <v>300</v>
      </c>
      <c r="U95" s="92"/>
      <c r="V95" s="21">
        <f>V92+V93+V94</f>
        <v>3.241673</v>
      </c>
    </row>
    <row r="96" spans="2:22" x14ac:dyDescent="0.2">
      <c r="B96" s="69" t="s">
        <v>73</v>
      </c>
      <c r="C96" s="5" t="s">
        <v>74</v>
      </c>
      <c r="D96" s="313" t="s">
        <v>75</v>
      </c>
      <c r="E96" s="314"/>
      <c r="F96" s="4"/>
      <c r="G96" s="4"/>
      <c r="H96" s="4"/>
      <c r="I96" s="4"/>
      <c r="J96" s="11"/>
      <c r="K96" s="4"/>
      <c r="L96" s="4"/>
      <c r="M96" s="11"/>
      <c r="N96" s="4"/>
      <c r="O96" s="4"/>
      <c r="P96" s="4"/>
      <c r="Q96" s="4"/>
      <c r="R96" s="51"/>
      <c r="S96" s="4"/>
      <c r="T96" s="69"/>
      <c r="U96" s="96"/>
      <c r="V96" s="84"/>
    </row>
    <row r="97" spans="1:23" x14ac:dyDescent="0.2">
      <c r="B97" s="69"/>
      <c r="C97" s="65" t="s">
        <v>40</v>
      </c>
      <c r="D97" s="159">
        <v>50</v>
      </c>
      <c r="E97" s="159">
        <v>50</v>
      </c>
      <c r="F97" s="69">
        <v>0.1</v>
      </c>
      <c r="G97" s="69">
        <v>0</v>
      </c>
      <c r="H97" s="69">
        <v>0</v>
      </c>
      <c r="I97" s="69">
        <v>0.8</v>
      </c>
      <c r="J97" s="85">
        <v>12.4</v>
      </c>
      <c r="K97" s="69">
        <v>2.5</v>
      </c>
      <c r="L97" s="69">
        <v>2.2000000000000002</v>
      </c>
      <c r="M97" s="85">
        <v>4.12</v>
      </c>
      <c r="N97" s="69">
        <v>0.4</v>
      </c>
      <c r="O97" s="69">
        <v>0</v>
      </c>
      <c r="P97" s="69">
        <v>0</v>
      </c>
      <c r="Q97" s="69">
        <v>0</v>
      </c>
      <c r="R97" s="70">
        <v>0</v>
      </c>
      <c r="S97" s="69">
        <v>0</v>
      </c>
      <c r="T97" s="69"/>
      <c r="U97" s="96">
        <v>539.16999999999996</v>
      </c>
      <c r="V97" s="84">
        <f>1*U97/1000</f>
        <v>0.53916999999999993</v>
      </c>
    </row>
    <row r="98" spans="1:23" x14ac:dyDescent="0.2">
      <c r="B98" s="69"/>
      <c r="C98" s="65" t="s">
        <v>30</v>
      </c>
      <c r="D98" s="159">
        <v>15</v>
      </c>
      <c r="E98" s="159">
        <v>15</v>
      </c>
      <c r="F98" s="69">
        <v>0</v>
      </c>
      <c r="G98" s="69">
        <v>0</v>
      </c>
      <c r="H98" s="69">
        <v>15</v>
      </c>
      <c r="I98" s="69">
        <v>56.9</v>
      </c>
      <c r="J98" s="85">
        <v>0.5</v>
      </c>
      <c r="K98" s="69">
        <v>0.4</v>
      </c>
      <c r="L98" s="69">
        <v>0</v>
      </c>
      <c r="M98" s="85">
        <v>0</v>
      </c>
      <c r="N98" s="69">
        <v>0</v>
      </c>
      <c r="O98" s="69">
        <v>0</v>
      </c>
      <c r="P98" s="69">
        <v>0</v>
      </c>
      <c r="Q98" s="69">
        <v>0</v>
      </c>
      <c r="R98" s="70">
        <v>0</v>
      </c>
      <c r="S98" s="69">
        <v>0</v>
      </c>
      <c r="T98" s="69"/>
      <c r="U98" s="96">
        <v>50.97</v>
      </c>
      <c r="V98" s="84">
        <f>D98*U98/1000</f>
        <v>0.76454999999999995</v>
      </c>
    </row>
    <row r="99" spans="1:23" x14ac:dyDescent="0.2">
      <c r="B99" s="69"/>
      <c r="C99" s="65" t="s">
        <v>35</v>
      </c>
      <c r="D99" s="159">
        <v>150</v>
      </c>
      <c r="E99" s="159">
        <v>150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70">
        <v>0</v>
      </c>
      <c r="S99" s="69">
        <v>0</v>
      </c>
      <c r="T99" s="69"/>
      <c r="U99" s="96">
        <v>0</v>
      </c>
      <c r="V99" s="84">
        <f>D99*U99/1000</f>
        <v>0</v>
      </c>
    </row>
    <row r="100" spans="1:23" x14ac:dyDescent="0.2">
      <c r="B100" s="69"/>
      <c r="C100" s="39" t="s">
        <v>47</v>
      </c>
      <c r="D100" s="3"/>
      <c r="E100" s="3"/>
      <c r="F100" s="3">
        <f t="shared" ref="F100:S100" si="10">SUM(F97:F99)</f>
        <v>0.1</v>
      </c>
      <c r="G100" s="3">
        <f t="shared" si="10"/>
        <v>0</v>
      </c>
      <c r="H100" s="3">
        <f t="shared" si="10"/>
        <v>15</v>
      </c>
      <c r="I100" s="3">
        <f t="shared" si="10"/>
        <v>57.699999999999996</v>
      </c>
      <c r="J100" s="3">
        <f t="shared" si="10"/>
        <v>12.9</v>
      </c>
      <c r="K100" s="3">
        <f t="shared" si="10"/>
        <v>2.9</v>
      </c>
      <c r="L100" s="3">
        <f t="shared" si="10"/>
        <v>2.2000000000000002</v>
      </c>
      <c r="M100" s="3">
        <f t="shared" si="10"/>
        <v>4.12</v>
      </c>
      <c r="N100" s="3">
        <f t="shared" si="10"/>
        <v>0.4</v>
      </c>
      <c r="O100" s="3">
        <f t="shared" si="10"/>
        <v>0</v>
      </c>
      <c r="P100" s="3">
        <f t="shared" si="10"/>
        <v>0</v>
      </c>
      <c r="Q100" s="3">
        <f t="shared" si="10"/>
        <v>0</v>
      </c>
      <c r="R100" s="50">
        <f t="shared" si="10"/>
        <v>0</v>
      </c>
      <c r="S100" s="3">
        <f t="shared" si="10"/>
        <v>0</v>
      </c>
      <c r="T100" s="3"/>
      <c r="U100" s="32"/>
      <c r="V100" s="21">
        <f>SUM(V97:V99)</f>
        <v>1.3037199999999998</v>
      </c>
    </row>
    <row r="101" spans="1:23" s="26" customFormat="1" ht="25.5" x14ac:dyDescent="0.2">
      <c r="B101" s="69" t="s">
        <v>24</v>
      </c>
      <c r="C101" s="5" t="s">
        <v>105</v>
      </c>
      <c r="D101" s="196">
        <v>30</v>
      </c>
      <c r="E101" s="196">
        <v>30</v>
      </c>
      <c r="F101" s="3">
        <v>1.54</v>
      </c>
      <c r="G101" s="3">
        <v>0.6</v>
      </c>
      <c r="H101" s="3">
        <v>9.9600000000000009</v>
      </c>
      <c r="I101" s="3">
        <v>52.4</v>
      </c>
      <c r="J101" s="7">
        <v>25.4</v>
      </c>
      <c r="K101" s="3">
        <v>5.2</v>
      </c>
      <c r="L101" s="3">
        <v>7</v>
      </c>
      <c r="M101" s="7">
        <v>16.600000000000001</v>
      </c>
      <c r="N101" s="3">
        <v>0.32</v>
      </c>
      <c r="O101" s="3">
        <v>0</v>
      </c>
      <c r="P101" s="3">
        <v>3.2000000000000001E-2</v>
      </c>
      <c r="Q101" s="3">
        <v>1.6E-2</v>
      </c>
      <c r="R101" s="3">
        <v>0.308</v>
      </c>
      <c r="S101" s="3">
        <v>0</v>
      </c>
      <c r="T101" s="69">
        <v>29.29</v>
      </c>
      <c r="U101" s="96">
        <v>0.58584000000000003</v>
      </c>
      <c r="V101" s="84"/>
    </row>
    <row r="102" spans="1:23" s="26" customFormat="1" ht="28.5" customHeight="1" x14ac:dyDescent="0.2">
      <c r="B102" s="69"/>
      <c r="C102" s="3" t="s">
        <v>164</v>
      </c>
      <c r="D102" s="159"/>
      <c r="E102" s="159"/>
      <c r="F102" s="3">
        <v>30.317350000000001</v>
      </c>
      <c r="G102" s="3">
        <v>29.9864</v>
      </c>
      <c r="H102" s="3">
        <v>105.1669</v>
      </c>
      <c r="I102" s="3">
        <v>857.90599999999995</v>
      </c>
      <c r="J102" s="3">
        <v>915.04</v>
      </c>
      <c r="K102" s="3">
        <v>65.564999999999998</v>
      </c>
      <c r="L102" s="3">
        <v>83.597999999999999</v>
      </c>
      <c r="M102" s="3">
        <v>316.44049999999999</v>
      </c>
      <c r="N102" s="3">
        <v>8.1491500000000006</v>
      </c>
      <c r="O102" s="3">
        <v>0.11069</v>
      </c>
      <c r="P102" s="3">
        <v>0.53471500000000005</v>
      </c>
      <c r="Q102" s="3">
        <v>0.35713</v>
      </c>
      <c r="R102" s="3">
        <v>10.23165</v>
      </c>
      <c r="S102" s="3">
        <v>21.312000000000001</v>
      </c>
      <c r="U102" s="165">
        <v>26</v>
      </c>
      <c r="V102" s="21">
        <v>26</v>
      </c>
    </row>
    <row r="103" spans="1:23" x14ac:dyDescent="0.2">
      <c r="B103" s="69"/>
      <c r="C103" s="196" t="s">
        <v>56</v>
      </c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70"/>
      <c r="S103" s="69"/>
      <c r="T103" s="69"/>
      <c r="U103" s="96"/>
      <c r="V103" s="84"/>
    </row>
    <row r="104" spans="1:23" x14ac:dyDescent="0.2">
      <c r="B104" s="69"/>
      <c r="C104" s="196" t="s">
        <v>163</v>
      </c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70"/>
      <c r="S104" s="69"/>
      <c r="T104" s="69"/>
      <c r="U104" s="96"/>
      <c r="V104" s="84"/>
    </row>
    <row r="105" spans="1:23" ht="31.5" x14ac:dyDescent="0.2">
      <c r="B105" s="70" t="s">
        <v>95</v>
      </c>
      <c r="C105" s="259" t="s">
        <v>93</v>
      </c>
      <c r="D105" s="167"/>
      <c r="E105" s="167">
        <v>80</v>
      </c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3"/>
      <c r="U105" s="96"/>
      <c r="V105" s="69"/>
    </row>
    <row r="106" spans="1:23" x14ac:dyDescent="0.2">
      <c r="B106" s="70"/>
      <c r="C106" s="173" t="s">
        <v>94</v>
      </c>
      <c r="D106" s="167">
        <v>136</v>
      </c>
      <c r="E106" s="167">
        <v>56</v>
      </c>
      <c r="F106" s="84">
        <v>10.472</v>
      </c>
      <c r="G106" s="84">
        <v>9.016</v>
      </c>
      <c r="H106" s="84">
        <v>0</v>
      </c>
      <c r="I106" s="84">
        <v>123.2</v>
      </c>
      <c r="J106" s="84">
        <v>132.19999999999999</v>
      </c>
      <c r="K106" s="84">
        <v>7.84</v>
      </c>
      <c r="L106" s="84">
        <v>10.64</v>
      </c>
      <c r="M106" s="84">
        <v>89.6</v>
      </c>
      <c r="N106" s="84">
        <v>0.72799999999999998</v>
      </c>
      <c r="O106" s="84">
        <v>2.24E-2</v>
      </c>
      <c r="P106" s="84">
        <v>5.04E-2</v>
      </c>
      <c r="Q106" s="84">
        <v>8.4000000000000005E-2</v>
      </c>
      <c r="R106" s="84">
        <v>3.4159999999999999</v>
      </c>
      <c r="S106" s="84">
        <v>1.1200000000000001</v>
      </c>
      <c r="T106" s="3">
        <v>110.79</v>
      </c>
      <c r="U106" s="96">
        <v>15.06744</v>
      </c>
      <c r="V106" s="96">
        <v>15.06744</v>
      </c>
    </row>
    <row r="107" spans="1:23" s="67" customFormat="1" x14ac:dyDescent="0.2">
      <c r="A107" s="154"/>
      <c r="B107" s="70"/>
      <c r="C107" s="173" t="s">
        <v>81</v>
      </c>
      <c r="D107" s="167">
        <v>12.8</v>
      </c>
      <c r="E107" s="167">
        <v>12.8</v>
      </c>
      <c r="F107" s="84">
        <v>0.98560000000000003</v>
      </c>
      <c r="G107" s="84">
        <v>0.38400000000000001</v>
      </c>
      <c r="H107" s="84">
        <v>6.3743999999999996</v>
      </c>
      <c r="I107" s="84">
        <v>33.536000000000001</v>
      </c>
      <c r="J107" s="84">
        <v>16.3</v>
      </c>
      <c r="K107" s="84">
        <v>3.3279999999999998</v>
      </c>
      <c r="L107" s="84">
        <v>4.4800000000000004</v>
      </c>
      <c r="M107" s="84">
        <v>10.6</v>
      </c>
      <c r="N107" s="84">
        <v>0.20480000000000001</v>
      </c>
      <c r="O107" s="84">
        <v>0</v>
      </c>
      <c r="P107" s="84">
        <v>2.0480000000000002E-2</v>
      </c>
      <c r="Q107" s="84">
        <v>1.0240000000000001E-2</v>
      </c>
      <c r="R107" s="84">
        <v>0.19711999999999999</v>
      </c>
      <c r="S107" s="84">
        <v>0</v>
      </c>
      <c r="T107" s="3">
        <v>29.92</v>
      </c>
      <c r="U107" s="96">
        <v>0.38297599999999998</v>
      </c>
      <c r="V107" s="96">
        <v>0.38297599999999998</v>
      </c>
      <c r="W107" s="154"/>
    </row>
    <row r="108" spans="1:23" x14ac:dyDescent="0.2">
      <c r="B108" s="70"/>
      <c r="C108" s="173" t="s">
        <v>87</v>
      </c>
      <c r="D108" s="167">
        <v>3.2</v>
      </c>
      <c r="E108" s="167">
        <v>3.2</v>
      </c>
      <c r="F108" s="84">
        <v>0.59840000000000004</v>
      </c>
      <c r="G108" s="84">
        <v>0.51519999999999999</v>
      </c>
      <c r="H108" s="84">
        <v>0</v>
      </c>
      <c r="I108" s="84">
        <v>7.04</v>
      </c>
      <c r="J108" s="84">
        <v>7.6</v>
      </c>
      <c r="K108" s="84">
        <v>0.44800000000000001</v>
      </c>
      <c r="L108" s="84">
        <v>0.60799999999999998</v>
      </c>
      <c r="M108" s="84">
        <v>5.12</v>
      </c>
      <c r="N108" s="84">
        <v>4.1599999999999998E-2</v>
      </c>
      <c r="O108" s="84">
        <v>1.2800000000000001E-3</v>
      </c>
      <c r="P108" s="84">
        <v>2.8800000000000002E-3</v>
      </c>
      <c r="Q108" s="84">
        <v>4.7999999999999996E-3</v>
      </c>
      <c r="R108" s="84">
        <v>0.19520000000000001</v>
      </c>
      <c r="S108" s="84">
        <v>6.4000000000000001E-2</v>
      </c>
      <c r="T108" s="3">
        <v>0</v>
      </c>
      <c r="U108" s="96">
        <v>0</v>
      </c>
      <c r="V108" s="96">
        <v>0</v>
      </c>
    </row>
    <row r="109" spans="1:23" x14ac:dyDescent="0.2">
      <c r="B109" s="70"/>
      <c r="C109" s="173" t="s">
        <v>88</v>
      </c>
      <c r="D109" s="167">
        <v>19.2</v>
      </c>
      <c r="E109" s="167">
        <v>19.2</v>
      </c>
      <c r="F109" s="84">
        <v>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3">
        <v>0</v>
      </c>
      <c r="U109" s="96">
        <v>0</v>
      </c>
      <c r="V109" s="96">
        <v>0</v>
      </c>
    </row>
    <row r="110" spans="1:23" x14ac:dyDescent="0.2">
      <c r="B110" s="70"/>
      <c r="C110" s="173" t="s">
        <v>82</v>
      </c>
      <c r="D110" s="167">
        <v>8</v>
      </c>
      <c r="E110" s="167">
        <v>8</v>
      </c>
      <c r="F110" s="84">
        <v>0.61599999999999999</v>
      </c>
      <c r="G110" s="84">
        <v>0.24</v>
      </c>
      <c r="H110" s="84">
        <v>3.984</v>
      </c>
      <c r="I110" s="84">
        <v>20.96</v>
      </c>
      <c r="J110" s="84">
        <v>10.199999999999999</v>
      </c>
      <c r="K110" s="84">
        <v>2.08</v>
      </c>
      <c r="L110" s="84">
        <v>2.8</v>
      </c>
      <c r="M110" s="84">
        <v>6.6</v>
      </c>
      <c r="N110" s="84">
        <v>0.128</v>
      </c>
      <c r="O110" s="84">
        <v>0</v>
      </c>
      <c r="P110" s="84">
        <v>1.2800000000000001E-2</v>
      </c>
      <c r="Q110" s="84">
        <v>6.4000000000000003E-3</v>
      </c>
      <c r="R110" s="84">
        <v>0.1232</v>
      </c>
      <c r="S110" s="84">
        <v>0</v>
      </c>
      <c r="T110" s="3">
        <v>29.92</v>
      </c>
      <c r="U110" s="96">
        <v>0.23935999999999999</v>
      </c>
      <c r="V110" s="96">
        <v>0.23935999999999999</v>
      </c>
    </row>
    <row r="111" spans="1:23" x14ac:dyDescent="0.2">
      <c r="B111" s="70"/>
      <c r="C111" s="173" t="s">
        <v>78</v>
      </c>
      <c r="D111" s="167">
        <v>4.8</v>
      </c>
      <c r="E111" s="167">
        <v>4.8</v>
      </c>
      <c r="F111" s="84">
        <v>0</v>
      </c>
      <c r="G111" s="84">
        <v>4.7952000000000004</v>
      </c>
      <c r="H111" s="84">
        <v>0</v>
      </c>
      <c r="I111" s="84">
        <v>43.152000000000001</v>
      </c>
      <c r="J111" s="84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3">
        <v>70.400000000000006</v>
      </c>
      <c r="U111" s="96">
        <v>0.33792</v>
      </c>
      <c r="V111" s="96">
        <v>0.33792</v>
      </c>
    </row>
    <row r="112" spans="1:23" x14ac:dyDescent="0.2">
      <c r="B112" s="70"/>
      <c r="C112" s="173" t="s">
        <v>46</v>
      </c>
      <c r="D112" s="167">
        <v>2.4</v>
      </c>
      <c r="E112" s="167">
        <v>2.4</v>
      </c>
      <c r="F112" s="84">
        <v>0</v>
      </c>
      <c r="G112" s="84">
        <v>0</v>
      </c>
      <c r="H112" s="84">
        <v>0</v>
      </c>
      <c r="I112" s="84">
        <v>0</v>
      </c>
      <c r="J112" s="84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3">
        <v>11.13</v>
      </c>
      <c r="U112" s="96">
        <v>2.6712E-2</v>
      </c>
      <c r="V112" s="96">
        <v>2.6712E-2</v>
      </c>
    </row>
    <row r="113" spans="2:23" x14ac:dyDescent="0.2">
      <c r="B113" s="70"/>
      <c r="C113" s="173" t="s">
        <v>77</v>
      </c>
      <c r="D113" s="167"/>
      <c r="E113" s="167"/>
      <c r="F113" s="84">
        <v>12.672000000000001</v>
      </c>
      <c r="G113" s="84">
        <v>14.9504</v>
      </c>
      <c r="H113" s="84">
        <v>10.3584</v>
      </c>
      <c r="I113" s="84">
        <v>227.88800000000001</v>
      </c>
      <c r="J113" s="84">
        <v>166.12799999999999</v>
      </c>
      <c r="K113" s="84">
        <v>13.696</v>
      </c>
      <c r="L113" s="84">
        <v>18.527999999999999</v>
      </c>
      <c r="M113" s="84">
        <v>111.98399999999999</v>
      </c>
      <c r="N113" s="84">
        <v>1.1024</v>
      </c>
      <c r="O113" s="84">
        <v>2.368E-2</v>
      </c>
      <c r="P113" s="84">
        <v>8.6559999999999998E-2</v>
      </c>
      <c r="Q113" s="84">
        <v>0.10544000000000001</v>
      </c>
      <c r="R113" s="84">
        <v>3.9315199999999999</v>
      </c>
      <c r="S113" s="84">
        <v>1.1839999999999999</v>
      </c>
      <c r="T113" s="3"/>
      <c r="U113" s="96">
        <v>16.054407999999999</v>
      </c>
      <c r="V113" s="96">
        <v>16.054407999999999</v>
      </c>
    </row>
    <row r="114" spans="2:23" x14ac:dyDescent="0.2">
      <c r="B114" s="136" t="s">
        <v>98</v>
      </c>
      <c r="C114" s="71" t="s">
        <v>99</v>
      </c>
      <c r="D114" s="34"/>
      <c r="E114" s="79">
        <v>75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69">
        <v>35.71</v>
      </c>
      <c r="U114" s="92"/>
      <c r="V114" s="84">
        <f t="shared" ref="V114:V123" si="11">D114*U114/1000</f>
        <v>0</v>
      </c>
    </row>
    <row r="115" spans="2:23" x14ac:dyDescent="0.2">
      <c r="B115" s="136"/>
      <c r="C115" s="30" t="s">
        <v>100</v>
      </c>
      <c r="D115" s="34">
        <v>75</v>
      </c>
      <c r="E115" s="34">
        <v>75</v>
      </c>
      <c r="F115" s="69">
        <v>0</v>
      </c>
      <c r="G115" s="69">
        <v>0</v>
      </c>
      <c r="H115" s="69">
        <v>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  <c r="O115" s="69">
        <v>0</v>
      </c>
      <c r="P115" s="69">
        <v>0</v>
      </c>
      <c r="Q115" s="69">
        <v>0</v>
      </c>
      <c r="R115" s="69">
        <v>0</v>
      </c>
      <c r="S115" s="69">
        <v>0</v>
      </c>
      <c r="T115" s="69">
        <v>23.05</v>
      </c>
      <c r="U115" s="92">
        <v>0</v>
      </c>
      <c r="V115" s="84">
        <f t="shared" si="11"/>
        <v>0</v>
      </c>
    </row>
    <row r="116" spans="2:23" ht="25.5" x14ac:dyDescent="0.2">
      <c r="B116" s="136"/>
      <c r="C116" s="30" t="s">
        <v>34</v>
      </c>
      <c r="D116" s="34">
        <v>1.5</v>
      </c>
      <c r="E116" s="34">
        <v>1.5</v>
      </c>
      <c r="F116" s="69">
        <v>0</v>
      </c>
      <c r="G116" s="69">
        <f>99.9*E116/100</f>
        <v>1.4985000000000002</v>
      </c>
      <c r="H116" s="69">
        <v>0</v>
      </c>
      <c r="I116" s="69">
        <f>899*E116/100</f>
        <v>13.484999999999999</v>
      </c>
      <c r="J116" s="85">
        <v>0</v>
      </c>
      <c r="K116" s="69">
        <v>0</v>
      </c>
      <c r="L116" s="69">
        <v>0</v>
      </c>
      <c r="M116" s="85">
        <v>0</v>
      </c>
      <c r="N116" s="69">
        <v>0</v>
      </c>
      <c r="O116" s="69">
        <v>0</v>
      </c>
      <c r="P116" s="69">
        <v>0</v>
      </c>
      <c r="Q116" s="69">
        <v>0</v>
      </c>
      <c r="R116" s="69">
        <v>0</v>
      </c>
      <c r="S116" s="69">
        <v>0</v>
      </c>
      <c r="T116" s="69">
        <v>297.44</v>
      </c>
      <c r="U116" s="92">
        <v>83.43</v>
      </c>
      <c r="V116" s="84">
        <f t="shared" si="11"/>
        <v>0.12514500000000001</v>
      </c>
    </row>
    <row r="117" spans="2:23" x14ac:dyDescent="0.2">
      <c r="B117" s="136"/>
      <c r="C117" s="30" t="s">
        <v>38</v>
      </c>
      <c r="D117" s="34">
        <v>3.8</v>
      </c>
      <c r="E117" s="34">
        <v>3.8</v>
      </c>
      <c r="F117" s="69">
        <f>10.3*E117/100</f>
        <v>0.39140000000000003</v>
      </c>
      <c r="G117" s="69">
        <f>1.1*E117/100</f>
        <v>4.1799999999999997E-2</v>
      </c>
      <c r="H117" s="69">
        <f>69*E117/100</f>
        <v>2.6219999999999999</v>
      </c>
      <c r="I117" s="69">
        <f>334*E117/100</f>
        <v>12.692</v>
      </c>
      <c r="J117" s="85">
        <f>176*E117/100</f>
        <v>6.6879999999999997</v>
      </c>
      <c r="K117" s="69">
        <f>24*E117/100</f>
        <v>0.91199999999999992</v>
      </c>
      <c r="L117" s="69">
        <f>44*E117/100</f>
        <v>1.6719999999999999</v>
      </c>
      <c r="M117" s="85">
        <f>115*E117/100</f>
        <v>4.37</v>
      </c>
      <c r="N117" s="69">
        <f>2.1*E117/100</f>
        <v>7.9799999999999996E-2</v>
      </c>
      <c r="O117" s="69">
        <v>0</v>
      </c>
      <c r="P117" s="69">
        <v>0</v>
      </c>
      <c r="Q117" s="69">
        <v>0</v>
      </c>
      <c r="R117" s="69">
        <v>0</v>
      </c>
      <c r="S117" s="69">
        <v>0</v>
      </c>
      <c r="T117" s="69">
        <v>29.98</v>
      </c>
      <c r="U117" s="92">
        <v>27.31</v>
      </c>
      <c r="V117" s="84">
        <f t="shared" si="11"/>
        <v>0.103778</v>
      </c>
    </row>
    <row r="118" spans="2:23" x14ac:dyDescent="0.2">
      <c r="B118" s="136"/>
      <c r="C118" s="30" t="s">
        <v>36</v>
      </c>
      <c r="D118" s="34">
        <v>3</v>
      </c>
      <c r="E118" s="34">
        <v>3</v>
      </c>
      <c r="F118" s="34">
        <f>4.8*E118/100</f>
        <v>0.14399999999999999</v>
      </c>
      <c r="G118" s="34">
        <v>0</v>
      </c>
      <c r="H118" s="34">
        <f>19*E118/100</f>
        <v>0.56999999999999995</v>
      </c>
      <c r="I118" s="34">
        <f>102*E118/100</f>
        <v>3.06</v>
      </c>
      <c r="J118" s="34">
        <f>875*E118/100</f>
        <v>26.25</v>
      </c>
      <c r="K118" s="34">
        <f>20*E118/100</f>
        <v>0.6</v>
      </c>
      <c r="L118" s="34">
        <f>50*E118/100</f>
        <v>1.5</v>
      </c>
      <c r="M118" s="34">
        <f>68*E118/100</f>
        <v>2.04</v>
      </c>
      <c r="N118" s="34">
        <f>2.3*E118/100</f>
        <v>6.8999999999999992E-2</v>
      </c>
      <c r="O118" s="34">
        <v>0</v>
      </c>
      <c r="P118" s="34">
        <v>0</v>
      </c>
      <c r="Q118" s="34">
        <v>0</v>
      </c>
      <c r="R118" s="34">
        <v>0</v>
      </c>
      <c r="S118" s="34">
        <f>45*E118/100</f>
        <v>1.35</v>
      </c>
      <c r="T118" s="69">
        <v>11.03</v>
      </c>
      <c r="U118" s="92">
        <v>120</v>
      </c>
      <c r="V118" s="84">
        <f t="shared" si="11"/>
        <v>0.36</v>
      </c>
    </row>
    <row r="119" spans="2:23" x14ac:dyDescent="0.2">
      <c r="B119" s="136"/>
      <c r="C119" s="30" t="s">
        <v>32</v>
      </c>
      <c r="D119" s="34">
        <v>7.5</v>
      </c>
      <c r="E119" s="34">
        <v>6</v>
      </c>
      <c r="F119" s="34">
        <f>1.3*E119/100</f>
        <v>7.8000000000000014E-2</v>
      </c>
      <c r="G119" s="34">
        <v>0</v>
      </c>
      <c r="H119" s="34">
        <f>6.9*E119/100</f>
        <v>0.41400000000000003</v>
      </c>
      <c r="I119" s="34">
        <f>35*E119/100</f>
        <v>2.1</v>
      </c>
      <c r="J119" s="34">
        <f>200*E119/100</f>
        <v>12</v>
      </c>
      <c r="K119" s="34">
        <f>27*E119/100</f>
        <v>1.62</v>
      </c>
      <c r="L119" s="34">
        <f>38*E119/100</f>
        <v>2.2799999999999998</v>
      </c>
      <c r="M119" s="34">
        <f>55*E119/100</f>
        <v>3.3</v>
      </c>
      <c r="N119" s="34">
        <v>0</v>
      </c>
      <c r="O119" s="34">
        <v>0</v>
      </c>
      <c r="P119" s="34">
        <v>0</v>
      </c>
      <c r="Q119" s="34">
        <v>0</v>
      </c>
      <c r="R119" s="34">
        <f>1*E119/100</f>
        <v>0.06</v>
      </c>
      <c r="S119" s="34">
        <f>5*E119/100</f>
        <v>0.3</v>
      </c>
      <c r="T119" s="69"/>
      <c r="U119" s="92">
        <v>32.71</v>
      </c>
      <c r="V119" s="84">
        <f t="shared" si="11"/>
        <v>0.24532500000000002</v>
      </c>
    </row>
    <row r="120" spans="2:23" x14ac:dyDescent="0.2">
      <c r="B120" s="136"/>
      <c r="C120" s="30" t="s">
        <v>33</v>
      </c>
      <c r="D120" s="159">
        <v>1.8</v>
      </c>
      <c r="E120" s="160">
        <v>1.5</v>
      </c>
      <c r="F120" s="69">
        <f>1.4*E120/100</f>
        <v>2.0999999999999998E-2</v>
      </c>
      <c r="G120" s="157">
        <v>0</v>
      </c>
      <c r="H120" s="157">
        <f>8.2*E120/100</f>
        <v>0.12299999999999998</v>
      </c>
      <c r="I120" s="157">
        <f>41*E120/100</f>
        <v>0.61499999999999999</v>
      </c>
      <c r="J120" s="158">
        <f>175*E120/100</f>
        <v>2.625</v>
      </c>
      <c r="K120" s="157">
        <f>31*E120/100</f>
        <v>0.46500000000000002</v>
      </c>
      <c r="L120" s="157">
        <f>14*E120/100</f>
        <v>0.21</v>
      </c>
      <c r="M120" s="158">
        <f>58*E120/100</f>
        <v>0.87</v>
      </c>
      <c r="N120" s="157">
        <v>0</v>
      </c>
      <c r="O120" s="157">
        <v>0</v>
      </c>
      <c r="P120" s="157">
        <v>0</v>
      </c>
      <c r="Q120" s="157">
        <v>0</v>
      </c>
      <c r="R120" s="157">
        <v>0</v>
      </c>
      <c r="S120" s="157">
        <f>10*E120/100</f>
        <v>0.15</v>
      </c>
      <c r="T120" s="69"/>
      <c r="U120" s="92">
        <v>29.62</v>
      </c>
      <c r="V120" s="84">
        <f t="shared" si="11"/>
        <v>5.3316000000000002E-2</v>
      </c>
    </row>
    <row r="121" spans="2:23" s="26" customFormat="1" x14ac:dyDescent="0.2">
      <c r="B121" s="136"/>
      <c r="C121" s="30" t="s">
        <v>30</v>
      </c>
      <c r="D121" s="69">
        <v>1.1000000000000001</v>
      </c>
      <c r="E121" s="69">
        <v>1.1000000000000001</v>
      </c>
      <c r="F121" s="84">
        <v>0</v>
      </c>
      <c r="G121" s="84">
        <v>0</v>
      </c>
      <c r="H121" s="84">
        <f>99.8*E121/100</f>
        <v>1.0978000000000001</v>
      </c>
      <c r="I121" s="84">
        <f>379*E121/100</f>
        <v>4.1690000000000005</v>
      </c>
      <c r="J121" s="84">
        <f>3*E121/100</f>
        <v>3.3000000000000002E-2</v>
      </c>
      <c r="K121" s="84">
        <f>2*E121/100</f>
        <v>2.2000000000000002E-2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69">
        <v>0</v>
      </c>
      <c r="U121" s="92">
        <v>50.97</v>
      </c>
      <c r="V121" s="84">
        <f t="shared" si="11"/>
        <v>5.6066999999999999E-2</v>
      </c>
    </row>
    <row r="122" spans="2:23" x14ac:dyDescent="0.2">
      <c r="B122" s="136"/>
      <c r="C122" s="30" t="s">
        <v>46</v>
      </c>
      <c r="D122" s="69">
        <v>0.75</v>
      </c>
      <c r="E122" s="69">
        <v>0.75</v>
      </c>
      <c r="F122" s="69">
        <v>0</v>
      </c>
      <c r="G122" s="69">
        <v>0</v>
      </c>
      <c r="H122" s="69">
        <v>0</v>
      </c>
      <c r="I122" s="69">
        <v>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0</v>
      </c>
      <c r="Q122" s="84">
        <v>0</v>
      </c>
      <c r="R122" s="84">
        <v>0</v>
      </c>
      <c r="S122" s="84">
        <v>0</v>
      </c>
      <c r="T122" s="69">
        <v>71.02</v>
      </c>
      <c r="U122" s="92">
        <v>11.63</v>
      </c>
      <c r="V122" s="84">
        <f t="shared" si="11"/>
        <v>8.7224999999999994E-3</v>
      </c>
    </row>
    <row r="123" spans="2:23" x14ac:dyDescent="0.2">
      <c r="B123" s="136"/>
      <c r="C123" s="76" t="s">
        <v>39</v>
      </c>
      <c r="D123" s="69">
        <v>1.4999999999999999E-2</v>
      </c>
      <c r="E123" s="69">
        <v>1.4999999999999999E-2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69">
        <v>0</v>
      </c>
      <c r="O123" s="69">
        <v>0</v>
      </c>
      <c r="P123" s="69">
        <v>0</v>
      </c>
      <c r="Q123" s="69">
        <v>0</v>
      </c>
      <c r="R123" s="69">
        <v>0</v>
      </c>
      <c r="S123" s="69">
        <v>0</v>
      </c>
      <c r="T123" s="69">
        <v>24.11</v>
      </c>
      <c r="U123" s="92">
        <v>300</v>
      </c>
      <c r="V123" s="84">
        <f t="shared" si="11"/>
        <v>4.4999999999999997E-3</v>
      </c>
    </row>
    <row r="124" spans="2:23" x14ac:dyDescent="0.2">
      <c r="B124" s="136"/>
      <c r="C124" s="71" t="s">
        <v>77</v>
      </c>
      <c r="D124" s="69"/>
      <c r="E124" s="69"/>
      <c r="F124" s="3">
        <f>SUM(F115:F123)+F112+F113</f>
        <v>13.3064</v>
      </c>
      <c r="G124" s="3">
        <f t="shared" ref="G124:S124" si="12">SUM(G115:G123)+G112+G113</f>
        <v>16.4907</v>
      </c>
      <c r="H124" s="3">
        <f t="shared" si="12"/>
        <v>15.185199999999998</v>
      </c>
      <c r="I124" s="3">
        <f t="shared" si="12"/>
        <v>264.00900000000001</v>
      </c>
      <c r="J124" s="3">
        <f t="shared" si="12"/>
        <v>213.72399999999999</v>
      </c>
      <c r="K124" s="3">
        <f t="shared" si="12"/>
        <v>17.314999999999998</v>
      </c>
      <c r="L124" s="3">
        <f t="shared" si="12"/>
        <v>24.189999999999998</v>
      </c>
      <c r="M124" s="3">
        <f t="shared" si="12"/>
        <v>122.56399999999999</v>
      </c>
      <c r="N124" s="3">
        <f t="shared" si="12"/>
        <v>1.2512000000000001</v>
      </c>
      <c r="O124" s="3">
        <f t="shared" si="12"/>
        <v>2.368E-2</v>
      </c>
      <c r="P124" s="3">
        <f t="shared" si="12"/>
        <v>8.6559999999999998E-2</v>
      </c>
      <c r="Q124" s="3">
        <f t="shared" si="12"/>
        <v>0.10544000000000001</v>
      </c>
      <c r="R124" s="3">
        <f t="shared" si="12"/>
        <v>3.99152</v>
      </c>
      <c r="S124" s="3">
        <f t="shared" si="12"/>
        <v>2.984</v>
      </c>
      <c r="T124" s="69">
        <v>160.44999999999999</v>
      </c>
      <c r="U124" s="92"/>
      <c r="V124" s="21">
        <f>V112+V113+V116+V117+V118+V119+V120+V121+V122+V123</f>
        <v>17.037973499999996</v>
      </c>
    </row>
    <row r="125" spans="2:23" x14ac:dyDescent="0.2">
      <c r="B125" s="69" t="s">
        <v>57</v>
      </c>
      <c r="C125" s="6" t="s">
        <v>58</v>
      </c>
      <c r="D125" s="69"/>
      <c r="E125" s="3">
        <v>150</v>
      </c>
      <c r="F125" s="3"/>
      <c r="G125" s="3"/>
      <c r="H125" s="3"/>
      <c r="I125" s="3"/>
      <c r="J125" s="3"/>
      <c r="K125" s="32"/>
      <c r="L125" s="7"/>
      <c r="M125" s="7"/>
      <c r="N125" s="3"/>
      <c r="O125" s="3"/>
      <c r="P125" s="3"/>
      <c r="Q125" s="3"/>
      <c r="R125" s="3"/>
      <c r="S125" s="32"/>
      <c r="T125" s="69"/>
      <c r="U125" s="96"/>
      <c r="V125" s="84"/>
    </row>
    <row r="126" spans="2:23" x14ac:dyDescent="0.2">
      <c r="B126" s="69"/>
      <c r="C126" s="156" t="s">
        <v>31</v>
      </c>
      <c r="D126" s="84">
        <v>170.8</v>
      </c>
      <c r="E126" s="84">
        <v>128.30000000000001</v>
      </c>
      <c r="F126" s="69">
        <f>2*E126/100</f>
        <v>2.5660000000000003</v>
      </c>
      <c r="G126" s="69">
        <f>0.4*E126/100</f>
        <v>0.5132000000000001</v>
      </c>
      <c r="H126" s="69">
        <f>16.3*E126/100</f>
        <v>20.912900000000004</v>
      </c>
      <c r="I126" s="69">
        <f>77*E126/100</f>
        <v>98.790999999999997</v>
      </c>
      <c r="J126" s="69">
        <f>568*E126/100</f>
        <v>728.74400000000014</v>
      </c>
      <c r="K126" s="69">
        <f>10*E126/100</f>
        <v>12.83</v>
      </c>
      <c r="L126" s="69">
        <f>23*E126/100</f>
        <v>29.509</v>
      </c>
      <c r="M126" s="69">
        <f>58*E126/100</f>
        <v>74.414000000000001</v>
      </c>
      <c r="N126" s="69">
        <f>0.9*E126/100</f>
        <v>1.1547000000000001</v>
      </c>
      <c r="O126" s="69">
        <v>0</v>
      </c>
      <c r="P126" s="69">
        <f>0.12*E126/100</f>
        <v>0.15396000000000001</v>
      </c>
      <c r="Q126" s="69">
        <f>0.07*E126/100</f>
        <v>8.9810000000000015E-2</v>
      </c>
      <c r="R126" s="69">
        <f>1.3*E126/100</f>
        <v>1.6679000000000002</v>
      </c>
      <c r="S126" s="69">
        <f>20*E126/100</f>
        <v>25.66</v>
      </c>
      <c r="T126" s="69"/>
      <c r="U126" s="96">
        <v>36.76</v>
      </c>
      <c r="V126" s="84">
        <f>D126*U126/1000</f>
        <v>6.2786080000000002</v>
      </c>
    </row>
    <row r="127" spans="2:23" x14ac:dyDescent="0.2">
      <c r="B127" s="69"/>
      <c r="C127" s="156" t="s">
        <v>37</v>
      </c>
      <c r="D127" s="84">
        <v>5</v>
      </c>
      <c r="E127" s="84">
        <v>5</v>
      </c>
      <c r="F127" s="69">
        <f>0.8*E127/100</f>
        <v>0.04</v>
      </c>
      <c r="G127" s="69">
        <f>72.5*E127/100</f>
        <v>3.625</v>
      </c>
      <c r="H127" s="69">
        <f>1.3*E127/100</f>
        <v>6.5000000000000002E-2</v>
      </c>
      <c r="I127" s="69">
        <f>661*E127/100</f>
        <v>33.049999999999997</v>
      </c>
      <c r="J127" s="86">
        <f>23*E127/100</f>
        <v>1.1499999999999999</v>
      </c>
      <c r="K127" s="69">
        <f>22*E127/100</f>
        <v>1.1000000000000001</v>
      </c>
      <c r="L127" s="69">
        <f>3*E127/100</f>
        <v>0.15</v>
      </c>
      <c r="M127" s="85">
        <f>19*E127/100</f>
        <v>0.95</v>
      </c>
      <c r="N127" s="69">
        <f>0.2*E127/100</f>
        <v>0.01</v>
      </c>
      <c r="O127" s="69">
        <f>0.5*E127/100</f>
        <v>2.5000000000000001E-2</v>
      </c>
      <c r="P127" s="69">
        <f>0</f>
        <v>0</v>
      </c>
      <c r="Q127" s="96">
        <f>0.01*E127/1000</f>
        <v>5.0000000000000002E-5</v>
      </c>
      <c r="R127" s="69">
        <f>0.1*E127/100</f>
        <v>5.0000000000000001E-3</v>
      </c>
      <c r="S127" s="69">
        <f>0</f>
        <v>0</v>
      </c>
      <c r="T127" s="69"/>
      <c r="U127" s="96">
        <v>337.78</v>
      </c>
      <c r="V127" s="84">
        <f>D127*U127/1000</f>
        <v>1.6888999999999998</v>
      </c>
      <c r="W127" s="81"/>
    </row>
    <row r="128" spans="2:23" x14ac:dyDescent="0.2">
      <c r="B128" s="69"/>
      <c r="C128" s="156" t="s">
        <v>29</v>
      </c>
      <c r="D128" s="84">
        <v>23.6</v>
      </c>
      <c r="E128" s="84">
        <v>22.5</v>
      </c>
      <c r="F128" s="34">
        <f>2.8*D128/100</f>
        <v>0.66079999999999994</v>
      </c>
      <c r="G128" s="34">
        <f>3.2*D128/100</f>
        <v>0.75520000000000009</v>
      </c>
      <c r="H128" s="34">
        <f>4.7*D128/100</f>
        <v>1.1092000000000002</v>
      </c>
      <c r="I128" s="34">
        <f>5.8*D128/100</f>
        <v>1.3688</v>
      </c>
      <c r="J128" s="34">
        <f>146*D128/100</f>
        <v>34.456000000000003</v>
      </c>
      <c r="K128" s="34">
        <f>120*D128/100</f>
        <v>28.32</v>
      </c>
      <c r="L128" s="34">
        <f>114*D128/100</f>
        <v>26.904</v>
      </c>
      <c r="M128" s="34">
        <f>0.1*D128/100</f>
        <v>2.3600000000000003E-2</v>
      </c>
      <c r="N128" s="34">
        <f>0.1*D128/100</f>
        <v>2.3600000000000003E-2</v>
      </c>
      <c r="O128" s="34">
        <f>0.02*D128/100</f>
        <v>4.7200000000000002E-3</v>
      </c>
      <c r="P128" s="34">
        <f>0.04*D128/100</f>
        <v>9.4400000000000005E-3</v>
      </c>
      <c r="Q128" s="34">
        <f>0.15*D128/100</f>
        <v>3.5400000000000001E-2</v>
      </c>
      <c r="R128" s="34">
        <f>0.1*D128/100</f>
        <v>2.3600000000000003E-2</v>
      </c>
      <c r="S128" s="34">
        <f>1.3*D128/100</f>
        <v>0.30680000000000002</v>
      </c>
      <c r="T128" s="69"/>
      <c r="U128" s="96">
        <v>41.53</v>
      </c>
      <c r="V128" s="84">
        <f>D128*U128/1000</f>
        <v>0.98010800000000009</v>
      </c>
      <c r="W128" s="81"/>
    </row>
    <row r="129" spans="2:23" x14ac:dyDescent="0.2">
      <c r="B129" s="69"/>
      <c r="C129" s="156" t="s">
        <v>46</v>
      </c>
      <c r="D129" s="84">
        <v>1.8</v>
      </c>
      <c r="E129" s="84">
        <v>1.8</v>
      </c>
      <c r="F129" s="69">
        <v>0</v>
      </c>
      <c r="G129" s="69">
        <v>0</v>
      </c>
      <c r="H129" s="69">
        <v>0</v>
      </c>
      <c r="I129" s="69">
        <v>0</v>
      </c>
      <c r="J129" s="69">
        <v>0</v>
      </c>
      <c r="K129" s="69">
        <v>0</v>
      </c>
      <c r="L129" s="69">
        <v>0</v>
      </c>
      <c r="M129" s="69">
        <v>0</v>
      </c>
      <c r="N129" s="69">
        <v>0</v>
      </c>
      <c r="O129" s="69">
        <v>0</v>
      </c>
      <c r="P129" s="69">
        <v>0</v>
      </c>
      <c r="Q129" s="69">
        <v>0</v>
      </c>
      <c r="R129" s="69">
        <v>0</v>
      </c>
      <c r="S129" s="69">
        <v>0</v>
      </c>
      <c r="T129" s="69"/>
      <c r="U129" s="96">
        <v>11.63</v>
      </c>
      <c r="V129" s="84">
        <f>D129*U129/1000</f>
        <v>2.0934000000000001E-2</v>
      </c>
      <c r="W129" s="81"/>
    </row>
    <row r="130" spans="2:23" x14ac:dyDescent="0.2">
      <c r="B130" s="69"/>
      <c r="C130" s="39" t="s">
        <v>47</v>
      </c>
      <c r="D130" s="3"/>
      <c r="E130" s="3"/>
      <c r="F130" s="3">
        <f>SUM(F126:F129)</f>
        <v>3.2668000000000004</v>
      </c>
      <c r="G130" s="3">
        <f>SUM(G126:G129)</f>
        <v>4.8934000000000006</v>
      </c>
      <c r="H130" s="3">
        <f t="shared" ref="H130:S130" si="13">SUM(H126:H129)</f>
        <v>22.087100000000007</v>
      </c>
      <c r="I130" s="3">
        <f t="shared" si="13"/>
        <v>133.2098</v>
      </c>
      <c r="J130" s="3">
        <f t="shared" si="13"/>
        <v>764.35000000000014</v>
      </c>
      <c r="K130" s="3">
        <f t="shared" si="13"/>
        <v>42.25</v>
      </c>
      <c r="L130" s="3">
        <f t="shared" si="13"/>
        <v>56.563000000000002</v>
      </c>
      <c r="M130" s="3">
        <f t="shared" si="13"/>
        <v>75.387600000000006</v>
      </c>
      <c r="N130" s="3">
        <f t="shared" si="13"/>
        <v>1.1883000000000001</v>
      </c>
      <c r="O130" s="3">
        <f t="shared" si="13"/>
        <v>2.9720000000000003E-2</v>
      </c>
      <c r="P130" s="3">
        <f t="shared" si="13"/>
        <v>0.16340000000000002</v>
      </c>
      <c r="Q130" s="3">
        <f t="shared" si="13"/>
        <v>0.12526000000000001</v>
      </c>
      <c r="R130" s="3">
        <f t="shared" si="13"/>
        <v>1.6965000000000001</v>
      </c>
      <c r="S130" s="3">
        <f t="shared" si="13"/>
        <v>25.966799999999999</v>
      </c>
      <c r="T130" s="69"/>
      <c r="U130" s="96"/>
      <c r="V130" s="21">
        <f>SUM(V126:V129)</f>
        <v>8.9685500000000005</v>
      </c>
    </row>
    <row r="131" spans="2:23" x14ac:dyDescent="0.2">
      <c r="B131" s="69" t="s">
        <v>73</v>
      </c>
      <c r="C131" s="5" t="s">
        <v>74</v>
      </c>
      <c r="D131" s="313" t="s">
        <v>75</v>
      </c>
      <c r="E131" s="31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50"/>
      <c r="S131" s="3"/>
      <c r="T131" s="69"/>
      <c r="U131" s="96"/>
      <c r="V131" s="84"/>
    </row>
    <row r="132" spans="2:23" x14ac:dyDescent="0.2">
      <c r="B132" s="69"/>
      <c r="C132" s="65" t="s">
        <v>40</v>
      </c>
      <c r="D132" s="159">
        <v>50</v>
      </c>
      <c r="E132" s="159">
        <v>50</v>
      </c>
      <c r="F132" s="69">
        <v>0.1</v>
      </c>
      <c r="G132" s="69">
        <v>0</v>
      </c>
      <c r="H132" s="69">
        <v>0</v>
      </c>
      <c r="I132" s="69">
        <v>0.8</v>
      </c>
      <c r="J132" s="85">
        <v>12.4</v>
      </c>
      <c r="K132" s="69">
        <v>2.5</v>
      </c>
      <c r="L132" s="69">
        <v>2.2000000000000002</v>
      </c>
      <c r="M132" s="85">
        <v>4.12</v>
      </c>
      <c r="N132" s="69">
        <v>0.4</v>
      </c>
      <c r="O132" s="69">
        <v>0</v>
      </c>
      <c r="P132" s="69">
        <v>0</v>
      </c>
      <c r="Q132" s="69">
        <v>0</v>
      </c>
      <c r="R132" s="70">
        <v>0</v>
      </c>
      <c r="S132" s="69">
        <v>0</v>
      </c>
      <c r="T132" s="69"/>
      <c r="U132" s="96">
        <v>539.16999999999996</v>
      </c>
      <c r="V132" s="84">
        <f>1*U132/1000</f>
        <v>0.53916999999999993</v>
      </c>
    </row>
    <row r="133" spans="2:23" x14ac:dyDescent="0.2">
      <c r="B133" s="69"/>
      <c r="C133" s="65" t="s">
        <v>30</v>
      </c>
      <c r="D133" s="159">
        <v>15</v>
      </c>
      <c r="E133" s="159">
        <v>15</v>
      </c>
      <c r="F133" s="69">
        <v>0</v>
      </c>
      <c r="G133" s="69">
        <v>0</v>
      </c>
      <c r="H133" s="69">
        <v>15</v>
      </c>
      <c r="I133" s="69">
        <v>56.9</v>
      </c>
      <c r="J133" s="85">
        <v>0.5</v>
      </c>
      <c r="K133" s="69">
        <v>0.4</v>
      </c>
      <c r="L133" s="69">
        <v>0</v>
      </c>
      <c r="M133" s="85">
        <v>0</v>
      </c>
      <c r="N133" s="69">
        <v>0</v>
      </c>
      <c r="O133" s="69">
        <v>0</v>
      </c>
      <c r="P133" s="69">
        <v>0</v>
      </c>
      <c r="Q133" s="69">
        <v>0</v>
      </c>
      <c r="R133" s="70">
        <v>0</v>
      </c>
      <c r="S133" s="69">
        <v>0</v>
      </c>
      <c r="T133" s="69"/>
      <c r="U133" s="96">
        <v>50.97</v>
      </c>
      <c r="V133" s="84">
        <f>D133*U133/1000</f>
        <v>0.76454999999999995</v>
      </c>
    </row>
    <row r="134" spans="2:23" x14ac:dyDescent="0.2">
      <c r="B134" s="69"/>
      <c r="C134" s="65" t="s">
        <v>35</v>
      </c>
      <c r="D134" s="159">
        <v>150</v>
      </c>
      <c r="E134" s="159">
        <v>150</v>
      </c>
      <c r="F134" s="69">
        <v>0</v>
      </c>
      <c r="G134" s="69">
        <v>0</v>
      </c>
      <c r="H134" s="69">
        <v>0</v>
      </c>
      <c r="I134" s="69">
        <v>0</v>
      </c>
      <c r="J134" s="69">
        <v>0</v>
      </c>
      <c r="K134" s="69">
        <v>0</v>
      </c>
      <c r="L134" s="69">
        <v>0</v>
      </c>
      <c r="M134" s="69">
        <v>0</v>
      </c>
      <c r="N134" s="69">
        <v>0</v>
      </c>
      <c r="O134" s="69">
        <v>0</v>
      </c>
      <c r="P134" s="69">
        <v>0</v>
      </c>
      <c r="Q134" s="69">
        <v>0</v>
      </c>
      <c r="R134" s="70">
        <v>0</v>
      </c>
      <c r="S134" s="69">
        <v>0</v>
      </c>
      <c r="T134" s="69"/>
      <c r="U134" s="96">
        <v>0</v>
      </c>
      <c r="V134" s="84">
        <f>D134*U134/1000</f>
        <v>0</v>
      </c>
    </row>
    <row r="135" spans="2:23" x14ac:dyDescent="0.2">
      <c r="B135" s="69"/>
      <c r="C135" s="39" t="s">
        <v>47</v>
      </c>
      <c r="D135" s="196"/>
      <c r="E135" s="196"/>
      <c r="F135" s="3">
        <v>0.1</v>
      </c>
      <c r="G135" s="3">
        <v>0</v>
      </c>
      <c r="H135" s="3">
        <v>15</v>
      </c>
      <c r="I135" s="3">
        <v>57.7</v>
      </c>
      <c r="J135" s="3">
        <v>12.9</v>
      </c>
      <c r="K135" s="3">
        <v>2.9</v>
      </c>
      <c r="L135" s="3">
        <v>2.2000000000000002</v>
      </c>
      <c r="M135" s="3">
        <v>4.12</v>
      </c>
      <c r="N135" s="3">
        <v>0.4</v>
      </c>
      <c r="O135" s="3">
        <v>0</v>
      </c>
      <c r="P135" s="3">
        <v>0</v>
      </c>
      <c r="Q135" s="3">
        <v>0</v>
      </c>
      <c r="R135" s="3">
        <v>0</v>
      </c>
      <c r="S135" s="26">
        <v>0</v>
      </c>
      <c r="T135" s="3"/>
      <c r="U135" s="32"/>
      <c r="V135" s="21">
        <f>SUM(V132:V134)</f>
        <v>1.3037199999999998</v>
      </c>
    </row>
    <row r="136" spans="2:23" ht="25.5" x14ac:dyDescent="0.2">
      <c r="B136" s="69" t="s">
        <v>24</v>
      </c>
      <c r="C136" s="5" t="s">
        <v>105</v>
      </c>
      <c r="D136" s="3">
        <v>30</v>
      </c>
      <c r="E136" s="3">
        <v>30</v>
      </c>
      <c r="F136" s="69">
        <f>7.7*E136/100</f>
        <v>2.31</v>
      </c>
      <c r="G136" s="69">
        <f>3*E136/100</f>
        <v>0.9</v>
      </c>
      <c r="H136" s="69">
        <f>49.8*E136/100</f>
        <v>14.94</v>
      </c>
      <c r="I136" s="69">
        <f>262*E136/100</f>
        <v>78.599999999999994</v>
      </c>
      <c r="J136" s="85">
        <f>127*E136/100</f>
        <v>38.1</v>
      </c>
      <c r="K136" s="69">
        <f>26*E136/100</f>
        <v>7.8</v>
      </c>
      <c r="L136" s="69">
        <f>35*E136/100</f>
        <v>10.5</v>
      </c>
      <c r="M136" s="85">
        <f>83*E136/100</f>
        <v>24.9</v>
      </c>
      <c r="N136" s="69">
        <f>1.6*E136/100</f>
        <v>0.48</v>
      </c>
      <c r="O136" s="69">
        <f>0</f>
        <v>0</v>
      </c>
      <c r="P136" s="69">
        <f>0.16*E136/100</f>
        <v>4.8000000000000001E-2</v>
      </c>
      <c r="Q136" s="69">
        <f>0.08*E136/100</f>
        <v>2.4E-2</v>
      </c>
      <c r="R136" s="69">
        <f>1.54*E136/100</f>
        <v>0.46200000000000002</v>
      </c>
      <c r="S136" s="69">
        <v>0</v>
      </c>
      <c r="T136" s="3"/>
      <c r="U136" s="32">
        <v>31.99</v>
      </c>
      <c r="V136" s="84">
        <f>E136*U136/1000</f>
        <v>0.95969999999999989</v>
      </c>
    </row>
    <row r="137" spans="2:23" x14ac:dyDescent="0.2">
      <c r="B137" s="169"/>
      <c r="C137" s="3" t="s">
        <v>164</v>
      </c>
      <c r="D137" s="159"/>
      <c r="E137" s="159"/>
      <c r="F137" s="3">
        <v>30.317350000000001</v>
      </c>
      <c r="G137" s="3">
        <v>29.9864</v>
      </c>
      <c r="H137" s="3">
        <v>105.1669</v>
      </c>
      <c r="I137" s="3">
        <v>857.90599999999995</v>
      </c>
      <c r="J137" s="3">
        <v>915.04</v>
      </c>
      <c r="K137" s="3">
        <v>65.564999999999998</v>
      </c>
      <c r="L137" s="3">
        <v>83.597999999999999</v>
      </c>
      <c r="M137" s="3">
        <v>316.44049999999999</v>
      </c>
      <c r="N137" s="3">
        <v>8.1491500000000006</v>
      </c>
      <c r="O137" s="3">
        <v>0.11069</v>
      </c>
      <c r="P137" s="3">
        <v>0.53471500000000005</v>
      </c>
      <c r="Q137" s="3">
        <v>0.35713</v>
      </c>
      <c r="R137" s="3">
        <v>10.23165</v>
      </c>
      <c r="S137" s="3">
        <v>21.312000000000001</v>
      </c>
      <c r="T137" s="26"/>
      <c r="U137" s="165">
        <v>26.3</v>
      </c>
      <c r="V137" s="21">
        <v>26.3</v>
      </c>
    </row>
    <row r="138" spans="2:23" x14ac:dyDescent="0.2">
      <c r="B138" s="69"/>
      <c r="C138" s="196" t="s">
        <v>59</v>
      </c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70"/>
      <c r="S138" s="69"/>
      <c r="T138" s="69"/>
      <c r="U138" s="96"/>
      <c r="V138" s="84"/>
    </row>
    <row r="139" spans="2:23" x14ac:dyDescent="0.2">
      <c r="B139" s="69"/>
      <c r="C139" s="196" t="s">
        <v>163</v>
      </c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70"/>
      <c r="S139" s="69"/>
      <c r="T139" s="69"/>
      <c r="U139" s="96"/>
      <c r="V139" s="84"/>
    </row>
    <row r="140" spans="2:23" ht="25.5" x14ac:dyDescent="0.2">
      <c r="B140" s="69" t="s">
        <v>140</v>
      </c>
      <c r="C140" s="5" t="s">
        <v>139</v>
      </c>
      <c r="D140" s="69"/>
      <c r="E140" s="3">
        <v>140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26"/>
      <c r="U140" s="32"/>
      <c r="V140" s="96"/>
      <c r="W140" s="81"/>
    </row>
    <row r="141" spans="2:23" x14ac:dyDescent="0.2">
      <c r="B141" s="69"/>
      <c r="C141" s="78" t="s">
        <v>141</v>
      </c>
      <c r="D141" s="69">
        <v>2</v>
      </c>
      <c r="E141" s="69">
        <v>80</v>
      </c>
      <c r="F141" s="36">
        <v>14.57</v>
      </c>
      <c r="G141" s="36">
        <v>25.05</v>
      </c>
      <c r="H141" s="36">
        <v>2.1280000000000001</v>
      </c>
      <c r="I141" s="36">
        <v>292.52</v>
      </c>
      <c r="J141" s="37">
        <v>10</v>
      </c>
      <c r="K141" s="36">
        <v>9</v>
      </c>
      <c r="L141" s="36">
        <v>3.5</v>
      </c>
      <c r="M141" s="36">
        <v>0.8</v>
      </c>
      <c r="N141" s="36">
        <v>12.3</v>
      </c>
      <c r="O141" s="36">
        <v>0.16</v>
      </c>
      <c r="P141" s="36">
        <v>0</v>
      </c>
      <c r="Q141" s="36">
        <v>0</v>
      </c>
      <c r="R141" s="36">
        <v>0</v>
      </c>
      <c r="S141" s="36">
        <v>0</v>
      </c>
      <c r="T141" s="26"/>
      <c r="U141" s="96">
        <v>5.5</v>
      </c>
      <c r="V141" s="96">
        <v>11</v>
      </c>
      <c r="W141" s="81"/>
    </row>
    <row r="142" spans="2:23" x14ac:dyDescent="0.2">
      <c r="B142" s="69"/>
      <c r="C142" s="65" t="s">
        <v>142</v>
      </c>
      <c r="D142" s="69">
        <v>30</v>
      </c>
      <c r="E142" s="69">
        <v>30</v>
      </c>
      <c r="F142" s="69">
        <v>1.4</v>
      </c>
      <c r="G142" s="69">
        <v>15.1</v>
      </c>
      <c r="H142" s="69">
        <v>2.35</v>
      </c>
      <c r="I142" s="69">
        <v>29</v>
      </c>
      <c r="J142" s="86">
        <v>73</v>
      </c>
      <c r="K142" s="69">
        <v>60</v>
      </c>
      <c r="L142" s="69">
        <v>7</v>
      </c>
      <c r="M142" s="85">
        <v>45</v>
      </c>
      <c r="N142" s="69">
        <v>0.05</v>
      </c>
      <c r="O142" s="69">
        <v>0.01</v>
      </c>
      <c r="P142" s="69">
        <v>0.02</v>
      </c>
      <c r="Q142" s="96">
        <v>0.35</v>
      </c>
      <c r="R142" s="69">
        <v>0.05</v>
      </c>
      <c r="S142" s="69">
        <v>0.8</v>
      </c>
      <c r="T142" s="26"/>
      <c r="U142" s="96">
        <v>55</v>
      </c>
      <c r="V142" s="96">
        <v>1.8149999999999999</v>
      </c>
    </row>
    <row r="143" spans="2:23" x14ac:dyDescent="0.2">
      <c r="B143" s="69"/>
      <c r="C143" s="65" t="s">
        <v>143</v>
      </c>
      <c r="D143" s="69">
        <v>16</v>
      </c>
      <c r="E143" s="69">
        <v>16</v>
      </c>
      <c r="F143" s="69">
        <v>0</v>
      </c>
      <c r="G143" s="69">
        <v>6.89</v>
      </c>
      <c r="H143" s="69">
        <v>0.12</v>
      </c>
      <c r="I143" s="69">
        <v>62.8</v>
      </c>
      <c r="J143" s="86">
        <v>2.19</v>
      </c>
      <c r="K143" s="69">
        <v>2.09</v>
      </c>
      <c r="L143" s="69">
        <v>0.28999999999999998</v>
      </c>
      <c r="M143" s="85">
        <v>1.81</v>
      </c>
      <c r="N143" s="69">
        <v>0</v>
      </c>
      <c r="O143" s="69">
        <v>0</v>
      </c>
      <c r="P143" s="69">
        <v>0</v>
      </c>
      <c r="Q143" s="96">
        <v>0</v>
      </c>
      <c r="R143" s="69">
        <v>0</v>
      </c>
      <c r="S143" s="69">
        <v>0</v>
      </c>
      <c r="T143" s="26"/>
      <c r="U143" s="96">
        <v>337.8</v>
      </c>
      <c r="V143" s="96">
        <v>5.4047999999999998</v>
      </c>
    </row>
    <row r="144" spans="2:23" x14ac:dyDescent="0.2">
      <c r="B144" s="69"/>
      <c r="C144" s="65" t="s">
        <v>144</v>
      </c>
      <c r="D144" s="69">
        <v>33</v>
      </c>
      <c r="E144" s="69">
        <v>32</v>
      </c>
      <c r="F144" s="69">
        <v>7.7</v>
      </c>
      <c r="G144" s="69">
        <v>16.73</v>
      </c>
      <c r="H144" s="69">
        <v>0</v>
      </c>
      <c r="I144" s="69">
        <v>182.7</v>
      </c>
      <c r="J144" s="86">
        <v>154</v>
      </c>
      <c r="K144" s="69">
        <v>24.5</v>
      </c>
      <c r="L144" s="69">
        <v>14</v>
      </c>
      <c r="M144" s="85">
        <v>111.3</v>
      </c>
      <c r="N144" s="69">
        <v>1.26</v>
      </c>
      <c r="O144" s="69">
        <v>0</v>
      </c>
      <c r="P144" s="69">
        <v>0</v>
      </c>
      <c r="Q144" s="96">
        <v>0</v>
      </c>
      <c r="R144" s="69">
        <v>0</v>
      </c>
      <c r="S144" s="69">
        <v>0</v>
      </c>
      <c r="T144" s="26"/>
      <c r="U144" s="96">
        <v>260</v>
      </c>
      <c r="V144" s="96">
        <v>8.58</v>
      </c>
    </row>
    <row r="145" spans="2:22" ht="15" customHeight="1" x14ac:dyDescent="0.2">
      <c r="B145" s="69"/>
      <c r="C145" s="65" t="s">
        <v>145</v>
      </c>
      <c r="D145" s="69">
        <v>2</v>
      </c>
      <c r="E145" s="69">
        <v>2</v>
      </c>
      <c r="F145" s="69">
        <v>0</v>
      </c>
      <c r="G145" s="69">
        <v>0</v>
      </c>
      <c r="H145" s="69">
        <v>0</v>
      </c>
      <c r="I145" s="69">
        <v>0</v>
      </c>
      <c r="J145" s="86">
        <v>0</v>
      </c>
      <c r="K145" s="69">
        <v>0</v>
      </c>
      <c r="L145" s="69">
        <v>0</v>
      </c>
      <c r="M145" s="85">
        <v>0</v>
      </c>
      <c r="N145" s="69">
        <v>0</v>
      </c>
      <c r="O145" s="69">
        <v>0</v>
      </c>
      <c r="P145" s="69">
        <v>0</v>
      </c>
      <c r="Q145" s="96">
        <v>0</v>
      </c>
      <c r="R145" s="69">
        <v>0</v>
      </c>
      <c r="S145" s="69">
        <v>0</v>
      </c>
      <c r="T145" s="26"/>
      <c r="U145" s="96">
        <v>11.63</v>
      </c>
      <c r="V145" s="96">
        <v>0.02</v>
      </c>
    </row>
    <row r="146" spans="2:22" ht="24" customHeight="1" x14ac:dyDescent="0.2">
      <c r="B146" s="69" t="s">
        <v>148</v>
      </c>
      <c r="C146" s="5" t="s">
        <v>147</v>
      </c>
      <c r="D146" s="69"/>
      <c r="E146" s="27">
        <v>50</v>
      </c>
      <c r="F146" s="69"/>
      <c r="G146" s="69"/>
      <c r="H146" s="69"/>
      <c r="I146" s="69"/>
      <c r="J146" s="86"/>
      <c r="K146" s="69"/>
      <c r="L146" s="69"/>
      <c r="M146" s="85"/>
      <c r="N146" s="69"/>
      <c r="O146" s="69"/>
      <c r="P146" s="69"/>
      <c r="Q146" s="96"/>
      <c r="R146" s="69"/>
      <c r="S146" s="69"/>
      <c r="T146" s="26"/>
      <c r="U146" s="96"/>
      <c r="V146" s="96"/>
    </row>
    <row r="147" spans="2:22" hidden="1" x14ac:dyDescent="0.2">
      <c r="B147" s="69"/>
      <c r="C147" s="39" t="s">
        <v>47</v>
      </c>
      <c r="D147" s="69"/>
      <c r="E147" s="69"/>
      <c r="F147" s="3">
        <f>F141+F142</f>
        <v>15.97</v>
      </c>
      <c r="G147" s="3">
        <f t="shared" ref="G147:S147" si="14">G141+G142</f>
        <v>40.15</v>
      </c>
      <c r="H147" s="3">
        <f t="shared" si="14"/>
        <v>4.4779999999999998</v>
      </c>
      <c r="I147" s="3">
        <f t="shared" si="14"/>
        <v>321.52</v>
      </c>
      <c r="J147" s="3">
        <f t="shared" si="14"/>
        <v>83</v>
      </c>
      <c r="K147" s="3">
        <f t="shared" si="14"/>
        <v>69</v>
      </c>
      <c r="L147" s="3">
        <f t="shared" si="14"/>
        <v>10.5</v>
      </c>
      <c r="M147" s="3">
        <f t="shared" si="14"/>
        <v>45.8</v>
      </c>
      <c r="N147" s="3">
        <f t="shared" si="14"/>
        <v>12.350000000000001</v>
      </c>
      <c r="O147" s="3">
        <f t="shared" si="14"/>
        <v>0.17</v>
      </c>
      <c r="P147" s="3">
        <f t="shared" si="14"/>
        <v>0.02</v>
      </c>
      <c r="Q147" s="3">
        <f t="shared" si="14"/>
        <v>0.35</v>
      </c>
      <c r="R147" s="3">
        <f t="shared" si="14"/>
        <v>0.05</v>
      </c>
      <c r="S147" s="3">
        <f t="shared" si="14"/>
        <v>0.8</v>
      </c>
      <c r="T147" s="26"/>
      <c r="U147" s="96"/>
      <c r="V147" s="96">
        <v>0</v>
      </c>
    </row>
    <row r="148" spans="2:22" x14ac:dyDescent="0.2">
      <c r="B148" s="69"/>
      <c r="C148" s="65" t="s">
        <v>149</v>
      </c>
      <c r="D148" s="69">
        <v>51.5</v>
      </c>
      <c r="E148" s="69">
        <v>50</v>
      </c>
      <c r="F148" s="69">
        <v>0.9</v>
      </c>
      <c r="G148" s="69">
        <v>0</v>
      </c>
      <c r="H148" s="3">
        <v>1.5</v>
      </c>
      <c r="I148" s="3">
        <v>11.5</v>
      </c>
      <c r="J148" s="3">
        <v>150</v>
      </c>
      <c r="K148" s="3">
        <v>24</v>
      </c>
      <c r="L148" s="3">
        <v>8</v>
      </c>
      <c r="M148" s="3">
        <v>15.5</v>
      </c>
      <c r="N148" s="3">
        <v>0.3</v>
      </c>
      <c r="O148" s="3">
        <v>0</v>
      </c>
      <c r="P148" s="3">
        <v>0.01</v>
      </c>
      <c r="Q148" s="3">
        <v>0.01</v>
      </c>
      <c r="R148" s="50">
        <v>0.2</v>
      </c>
      <c r="S148" s="3">
        <v>15</v>
      </c>
      <c r="T148" s="26"/>
      <c r="U148" s="96">
        <v>75</v>
      </c>
      <c r="V148" s="96">
        <v>3.8250000000000002</v>
      </c>
    </row>
    <row r="149" spans="2:22" x14ac:dyDescent="0.2">
      <c r="B149" s="69"/>
      <c r="C149" s="5" t="s">
        <v>106</v>
      </c>
      <c r="D149" s="69">
        <v>20</v>
      </c>
      <c r="E149" s="69">
        <v>20</v>
      </c>
      <c r="F149" s="69">
        <v>1.32</v>
      </c>
      <c r="G149" s="69">
        <v>0.24</v>
      </c>
      <c r="H149" s="69">
        <v>6.84</v>
      </c>
      <c r="I149" s="69">
        <v>36.200000000000003</v>
      </c>
      <c r="J149" s="69">
        <v>18.8</v>
      </c>
      <c r="K149" s="69">
        <v>6.8</v>
      </c>
      <c r="L149" s="69">
        <v>8.1999999999999993</v>
      </c>
      <c r="M149" s="69">
        <v>24</v>
      </c>
      <c r="N149" s="69">
        <v>0.46</v>
      </c>
      <c r="O149" s="69">
        <v>0</v>
      </c>
      <c r="P149" s="69">
        <v>2.1999999999999999E-2</v>
      </c>
      <c r="Q149" s="69">
        <v>1.6E-2</v>
      </c>
      <c r="R149" s="70">
        <v>0.128</v>
      </c>
      <c r="S149" s="69">
        <v>0</v>
      </c>
      <c r="T149" s="69">
        <v>35.9</v>
      </c>
      <c r="U149" s="96">
        <v>0.71799999999999997</v>
      </c>
      <c r="V149" s="32">
        <v>3.9330280000000002</v>
      </c>
    </row>
    <row r="150" spans="2:22" s="26" customFormat="1" ht="25.5" x14ac:dyDescent="0.2">
      <c r="B150" s="69"/>
      <c r="C150" s="5" t="s">
        <v>105</v>
      </c>
      <c r="D150" s="69">
        <v>30</v>
      </c>
      <c r="E150" s="69">
        <v>30</v>
      </c>
      <c r="F150" s="69">
        <f>7.7*E150/100</f>
        <v>2.31</v>
      </c>
      <c r="G150" s="69">
        <f>3*E150/100</f>
        <v>0.9</v>
      </c>
      <c r="H150" s="69">
        <f>49.8*E150/100</f>
        <v>14.94</v>
      </c>
      <c r="I150" s="69">
        <f>262*E150/100</f>
        <v>78.599999999999994</v>
      </c>
      <c r="J150" s="85">
        <f>127*E150/100</f>
        <v>38.1</v>
      </c>
      <c r="K150" s="69">
        <f>26*E150/100</f>
        <v>7.8</v>
      </c>
      <c r="L150" s="69">
        <f>35*E150/100</f>
        <v>10.5</v>
      </c>
      <c r="M150" s="85">
        <f>83*E150/100</f>
        <v>24.9</v>
      </c>
      <c r="N150" s="69">
        <f>1.6*E150/100</f>
        <v>0.48</v>
      </c>
      <c r="O150" s="69">
        <f>0</f>
        <v>0</v>
      </c>
      <c r="P150" s="69">
        <f>0.16*E150/100</f>
        <v>4.8000000000000001E-2</v>
      </c>
      <c r="Q150" s="69">
        <f>0.08*E150/100</f>
        <v>2.4E-2</v>
      </c>
      <c r="R150" s="69">
        <f>1.54*E150/100</f>
        <v>0.46200000000000002</v>
      </c>
      <c r="S150" s="69">
        <v>0</v>
      </c>
      <c r="T150" s="3"/>
      <c r="U150" s="96">
        <v>31.99</v>
      </c>
      <c r="V150" s="69">
        <f>D167*U167/1000</f>
        <v>0</v>
      </c>
    </row>
    <row r="151" spans="2:22" x14ac:dyDescent="0.2">
      <c r="B151" s="69" t="s">
        <v>24</v>
      </c>
      <c r="C151" s="5" t="s">
        <v>74</v>
      </c>
      <c r="D151" s="69" t="s">
        <v>75</v>
      </c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70"/>
      <c r="S151" s="69"/>
      <c r="T151" s="69"/>
      <c r="U151" s="96"/>
      <c r="V151" s="84"/>
    </row>
    <row r="152" spans="2:22" x14ac:dyDescent="0.2">
      <c r="B152" s="69" t="s">
        <v>73</v>
      </c>
      <c r="C152" s="65" t="s">
        <v>146</v>
      </c>
      <c r="D152" s="69">
        <v>50</v>
      </c>
      <c r="E152" s="69">
        <v>50</v>
      </c>
      <c r="F152" s="69">
        <v>0.1</v>
      </c>
      <c r="G152" s="69">
        <v>0</v>
      </c>
      <c r="H152" s="69">
        <v>0</v>
      </c>
      <c r="I152" s="69">
        <v>0.8</v>
      </c>
      <c r="J152" s="69">
        <v>12.4</v>
      </c>
      <c r="K152" s="69">
        <v>2.5</v>
      </c>
      <c r="L152" s="69">
        <v>2.2000000000000002</v>
      </c>
      <c r="M152" s="69">
        <v>4.0999999999999996</v>
      </c>
      <c r="N152" s="69">
        <v>0.4</v>
      </c>
      <c r="O152" s="69">
        <v>0</v>
      </c>
      <c r="P152" s="69">
        <v>0</v>
      </c>
      <c r="Q152" s="69">
        <v>0</v>
      </c>
      <c r="R152" s="70">
        <v>0</v>
      </c>
      <c r="S152" s="69">
        <v>0</v>
      </c>
      <c r="T152" s="69">
        <v>412</v>
      </c>
      <c r="U152" s="96">
        <v>0.41199999999999998</v>
      </c>
      <c r="V152" s="52">
        <v>17.8</v>
      </c>
    </row>
    <row r="153" spans="2:22" x14ac:dyDescent="0.2">
      <c r="B153" s="69"/>
      <c r="C153" s="39" t="s">
        <v>30</v>
      </c>
      <c r="D153" s="3">
        <v>15</v>
      </c>
      <c r="E153" s="3">
        <v>15</v>
      </c>
      <c r="F153" s="3">
        <v>0</v>
      </c>
      <c r="G153" s="3">
        <v>0</v>
      </c>
      <c r="H153" s="3">
        <v>15</v>
      </c>
      <c r="I153" s="3">
        <v>56.9</v>
      </c>
      <c r="J153" s="3">
        <v>0.5</v>
      </c>
      <c r="K153" s="3">
        <v>0.4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50">
        <v>0</v>
      </c>
      <c r="S153" s="3">
        <v>0</v>
      </c>
      <c r="T153" s="69">
        <v>35.159999999999997</v>
      </c>
      <c r="U153" s="96">
        <v>0.52739999999999998</v>
      </c>
      <c r="V153" s="135">
        <v>0</v>
      </c>
    </row>
    <row r="154" spans="2:22" x14ac:dyDescent="0.2">
      <c r="B154" s="69"/>
      <c r="C154" s="5" t="s">
        <v>35</v>
      </c>
      <c r="D154" s="3">
        <v>150</v>
      </c>
      <c r="E154" s="3">
        <v>150</v>
      </c>
      <c r="F154" s="69">
        <v>0</v>
      </c>
      <c r="G154" s="69">
        <v>0</v>
      </c>
      <c r="H154" s="69">
        <v>0</v>
      </c>
      <c r="I154" s="69">
        <v>0</v>
      </c>
      <c r="J154" s="85">
        <v>0</v>
      </c>
      <c r="K154" s="69">
        <v>0</v>
      </c>
      <c r="L154" s="69">
        <v>0</v>
      </c>
      <c r="M154" s="85">
        <v>0</v>
      </c>
      <c r="N154" s="69">
        <v>0</v>
      </c>
      <c r="O154" s="69">
        <v>0</v>
      </c>
      <c r="P154" s="69">
        <v>0</v>
      </c>
      <c r="Q154" s="69">
        <v>0</v>
      </c>
      <c r="R154" s="69">
        <v>0</v>
      </c>
      <c r="S154" s="69">
        <v>0</v>
      </c>
      <c r="T154" s="3">
        <v>0</v>
      </c>
      <c r="U154" s="32">
        <v>0</v>
      </c>
      <c r="V154" s="135">
        <v>0.372</v>
      </c>
    </row>
    <row r="155" spans="2:22" x14ac:dyDescent="0.2">
      <c r="B155" s="69"/>
      <c r="C155" s="5" t="s">
        <v>47</v>
      </c>
      <c r="D155" s="3"/>
      <c r="E155" s="3"/>
      <c r="F155" s="69">
        <v>0.1</v>
      </c>
      <c r="G155" s="69">
        <v>0</v>
      </c>
      <c r="H155" s="69">
        <v>15</v>
      </c>
      <c r="I155" s="69">
        <v>57.7</v>
      </c>
      <c r="J155" s="69">
        <v>12.9</v>
      </c>
      <c r="K155" s="69">
        <v>2.9</v>
      </c>
      <c r="L155" s="69">
        <v>2.2000000000000002</v>
      </c>
      <c r="M155" s="69">
        <v>4.12</v>
      </c>
      <c r="N155" s="69">
        <v>0.4</v>
      </c>
      <c r="O155" s="69">
        <v>0</v>
      </c>
      <c r="P155" s="69">
        <v>0</v>
      </c>
      <c r="Q155" s="69">
        <v>0</v>
      </c>
      <c r="R155" s="69">
        <v>0</v>
      </c>
      <c r="S155" s="69">
        <v>0</v>
      </c>
      <c r="T155" s="3"/>
      <c r="U155" s="32">
        <v>0.93940000000000001</v>
      </c>
      <c r="V155" s="135">
        <v>0.82899999999999996</v>
      </c>
    </row>
    <row r="156" spans="2:22" x14ac:dyDescent="0.2">
      <c r="B156" s="69"/>
      <c r="C156" s="42" t="s">
        <v>164</v>
      </c>
      <c r="D156" s="42"/>
      <c r="E156" s="42"/>
      <c r="F156" s="42">
        <v>28.915900000000001</v>
      </c>
      <c r="G156" s="42">
        <v>30.662700000000001</v>
      </c>
      <c r="H156" s="42">
        <v>88.719399999999993</v>
      </c>
      <c r="I156" s="42">
        <v>666.63760000000002</v>
      </c>
      <c r="J156" s="42">
        <v>786.74599999999998</v>
      </c>
      <c r="K156" s="42">
        <v>131.678</v>
      </c>
      <c r="L156" s="42">
        <v>135.65799999999999</v>
      </c>
      <c r="M156" s="42">
        <v>183.2825</v>
      </c>
      <c r="N156" s="42">
        <v>8.1952200000000008</v>
      </c>
      <c r="O156" s="42">
        <v>6.3E-2</v>
      </c>
      <c r="P156" s="42">
        <v>0.51873999999999998</v>
      </c>
      <c r="Q156" s="42">
        <v>0.33509100000000003</v>
      </c>
      <c r="R156" s="42">
        <v>6.69116</v>
      </c>
      <c r="S156" s="42">
        <v>45.122500000000002</v>
      </c>
      <c r="T156" s="42"/>
      <c r="U156" s="153">
        <v>33.19</v>
      </c>
      <c r="V156" s="135">
        <v>0.88400000000000001</v>
      </c>
    </row>
    <row r="157" spans="2:22" hidden="1" x14ac:dyDescent="0.2">
      <c r="B157" s="169"/>
      <c r="C157" s="3" t="s">
        <v>164</v>
      </c>
      <c r="D157" s="42"/>
      <c r="E157" s="42"/>
      <c r="F157" s="42">
        <v>28.915900000000001</v>
      </c>
      <c r="G157" s="42">
        <v>30.662700000000001</v>
      </c>
      <c r="H157" s="42">
        <v>88.719399999999993</v>
      </c>
      <c r="I157" s="42">
        <v>666.63760000000002</v>
      </c>
      <c r="J157" s="42">
        <v>786.74599999999998</v>
      </c>
      <c r="K157" s="42">
        <v>131.678</v>
      </c>
      <c r="L157" s="42">
        <v>135.65799999999999</v>
      </c>
      <c r="M157" s="42">
        <v>183.2825</v>
      </c>
      <c r="N157" s="42">
        <v>8.1952200000000008</v>
      </c>
      <c r="O157" s="42">
        <v>6.3E-2</v>
      </c>
      <c r="P157" s="42">
        <v>0.51873999999999998</v>
      </c>
      <c r="Q157" s="42">
        <v>0.33509100000000003</v>
      </c>
      <c r="R157" s="42">
        <v>6.69116</v>
      </c>
      <c r="S157" s="42">
        <v>45.122500000000002</v>
      </c>
      <c r="T157" s="42"/>
      <c r="U157" s="153">
        <v>29.23</v>
      </c>
      <c r="V157" s="153">
        <v>29.23</v>
      </c>
    </row>
    <row r="158" spans="2:22" x14ac:dyDescent="0.2">
      <c r="B158" s="69"/>
      <c r="C158" s="196" t="s">
        <v>60</v>
      </c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70"/>
      <c r="S158" s="69"/>
      <c r="T158" s="69"/>
      <c r="U158" s="96"/>
      <c r="V158" s="84"/>
    </row>
    <row r="159" spans="2:22" x14ac:dyDescent="0.2">
      <c r="B159" s="69"/>
      <c r="C159" s="196" t="s">
        <v>163</v>
      </c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  <c r="S159" s="69"/>
      <c r="T159" s="69"/>
      <c r="U159" s="96"/>
      <c r="V159" s="84"/>
    </row>
    <row r="160" spans="2:22" x14ac:dyDescent="0.2">
      <c r="B160" s="3" t="s">
        <v>110</v>
      </c>
      <c r="C160" s="137" t="s">
        <v>111</v>
      </c>
      <c r="D160" s="21"/>
      <c r="E160" s="21">
        <v>80</v>
      </c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96"/>
      <c r="U160" s="84"/>
      <c r="V160" s="84"/>
    </row>
    <row r="161" spans="1:23" x14ac:dyDescent="0.2">
      <c r="B161" s="57"/>
      <c r="C161" s="138" t="s">
        <v>112</v>
      </c>
      <c r="D161" s="157">
        <v>80</v>
      </c>
      <c r="E161" s="138">
        <v>59.2</v>
      </c>
      <c r="F161" s="138">
        <v>6.5449999999999999</v>
      </c>
      <c r="G161" s="138">
        <v>5.6349999999999998</v>
      </c>
      <c r="H161" s="138">
        <v>0</v>
      </c>
      <c r="I161" s="138">
        <v>77</v>
      </c>
      <c r="J161" s="138">
        <v>82.6</v>
      </c>
      <c r="K161" s="139">
        <v>4.9000000000000004</v>
      </c>
      <c r="L161" s="140">
        <v>6.7</v>
      </c>
      <c r="M161" s="140">
        <v>56</v>
      </c>
      <c r="N161" s="138">
        <v>0.45500000000000002</v>
      </c>
      <c r="O161" s="138">
        <v>0.01</v>
      </c>
      <c r="P161" s="138">
        <v>3.2000000000000001E-2</v>
      </c>
      <c r="Q161" s="138">
        <v>5.2999999999999999E-2</v>
      </c>
      <c r="R161" s="138">
        <v>2.1349999999999998</v>
      </c>
      <c r="S161" s="139">
        <v>0.7</v>
      </c>
      <c r="T161" s="174">
        <v>329.03</v>
      </c>
      <c r="U161" s="52">
        <v>17.8</v>
      </c>
      <c r="V161" s="52">
        <v>17.8</v>
      </c>
    </row>
    <row r="162" spans="1:23" x14ac:dyDescent="0.2">
      <c r="B162" s="57"/>
      <c r="C162" s="157" t="s">
        <v>68</v>
      </c>
      <c r="D162" s="157">
        <v>14.4</v>
      </c>
      <c r="E162" s="157">
        <v>11.4</v>
      </c>
      <c r="F162" s="157">
        <v>0.61599999999999999</v>
      </c>
      <c r="G162" s="157">
        <v>0.24</v>
      </c>
      <c r="H162" s="157">
        <v>3.984</v>
      </c>
      <c r="I162" s="157">
        <v>20.96</v>
      </c>
      <c r="J162" s="157">
        <v>10.199999999999999</v>
      </c>
      <c r="K162" s="158">
        <v>2.1</v>
      </c>
      <c r="L162" s="157">
        <v>2.8</v>
      </c>
      <c r="M162" s="158">
        <v>6.6</v>
      </c>
      <c r="N162" s="157">
        <v>0.128</v>
      </c>
      <c r="O162" s="157">
        <v>0</v>
      </c>
      <c r="P162" s="157">
        <v>1.2999999999999999E-2</v>
      </c>
      <c r="Q162" s="157">
        <v>6.0000000000000001E-3</v>
      </c>
      <c r="R162" s="157">
        <v>0.123</v>
      </c>
      <c r="S162" s="157">
        <v>0</v>
      </c>
      <c r="T162" s="174">
        <v>29.92</v>
      </c>
      <c r="U162" s="135">
        <v>0</v>
      </c>
      <c r="V162" s="135">
        <v>0</v>
      </c>
    </row>
    <row r="163" spans="1:23" x14ac:dyDescent="0.2">
      <c r="B163" s="57"/>
      <c r="C163" s="157" t="s">
        <v>113</v>
      </c>
      <c r="D163" s="157">
        <v>11.2</v>
      </c>
      <c r="E163" s="157">
        <v>11.2</v>
      </c>
      <c r="F163" s="157">
        <v>0.374</v>
      </c>
      <c r="G163" s="157">
        <v>0.32200000000000001</v>
      </c>
      <c r="H163" s="175">
        <v>0</v>
      </c>
      <c r="I163" s="157">
        <v>4.4000000000000004</v>
      </c>
      <c r="J163" s="176">
        <v>4.7</v>
      </c>
      <c r="K163" s="157">
        <v>0.28000000000000003</v>
      </c>
      <c r="L163" s="157">
        <v>0.38</v>
      </c>
      <c r="M163" s="157">
        <v>3.2</v>
      </c>
      <c r="N163" s="157">
        <v>2.5999999999999999E-2</v>
      </c>
      <c r="O163" s="157">
        <v>0</v>
      </c>
      <c r="P163" s="157">
        <v>2E-3</v>
      </c>
      <c r="Q163" s="157">
        <v>3.0000000000000001E-3</v>
      </c>
      <c r="R163" s="157">
        <v>0.122</v>
      </c>
      <c r="S163" s="157">
        <v>0.04</v>
      </c>
      <c r="T163" s="174">
        <v>36.83</v>
      </c>
      <c r="U163" s="135">
        <v>0.372</v>
      </c>
      <c r="V163" s="135">
        <v>0.372</v>
      </c>
    </row>
    <row r="164" spans="1:23" s="26" customFormat="1" x14ac:dyDescent="0.2">
      <c r="B164" s="57"/>
      <c r="C164" s="157" t="s">
        <v>104</v>
      </c>
      <c r="D164" s="157">
        <v>8</v>
      </c>
      <c r="E164" s="157">
        <v>8</v>
      </c>
      <c r="F164" s="157">
        <v>0</v>
      </c>
      <c r="G164" s="157">
        <v>0</v>
      </c>
      <c r="H164" s="157">
        <v>0</v>
      </c>
      <c r="I164" s="157">
        <v>0</v>
      </c>
      <c r="J164" s="157">
        <v>0</v>
      </c>
      <c r="K164" s="158">
        <v>0</v>
      </c>
      <c r="L164" s="157">
        <v>0</v>
      </c>
      <c r="M164" s="158">
        <v>0</v>
      </c>
      <c r="N164" s="157">
        <v>0</v>
      </c>
      <c r="O164" s="157">
        <v>0</v>
      </c>
      <c r="P164" s="157">
        <v>0</v>
      </c>
      <c r="Q164" s="157">
        <v>0</v>
      </c>
      <c r="R164" s="157">
        <v>0</v>
      </c>
      <c r="S164" s="157">
        <v>0</v>
      </c>
      <c r="T164" s="174">
        <v>29.92</v>
      </c>
      <c r="U164" s="135">
        <v>0.82899999999999996</v>
      </c>
      <c r="V164" s="135">
        <v>0.82899999999999996</v>
      </c>
    </row>
    <row r="165" spans="1:23" s="26" customFormat="1" x14ac:dyDescent="0.2">
      <c r="B165" s="57"/>
      <c r="C165" s="157" t="s">
        <v>76</v>
      </c>
      <c r="D165" s="157">
        <v>5</v>
      </c>
      <c r="E165" s="157">
        <v>5</v>
      </c>
      <c r="F165" s="157">
        <v>0.38500000000000001</v>
      </c>
      <c r="G165" s="157">
        <v>0.15</v>
      </c>
      <c r="H165" s="157">
        <v>2.4900000000000002</v>
      </c>
      <c r="I165" s="157">
        <v>13.1</v>
      </c>
      <c r="J165" s="157">
        <v>6.4</v>
      </c>
      <c r="K165" s="157">
        <v>1.3</v>
      </c>
      <c r="L165" s="157">
        <v>1.75</v>
      </c>
      <c r="M165" s="157">
        <v>4.2</v>
      </c>
      <c r="N165" s="157">
        <v>0.08</v>
      </c>
      <c r="O165" s="157">
        <v>0</v>
      </c>
      <c r="P165" s="157">
        <v>8.0000000000000002E-3</v>
      </c>
      <c r="Q165" s="157">
        <v>4.0000000000000001E-3</v>
      </c>
      <c r="R165" s="157">
        <v>7.6999999999999999E-2</v>
      </c>
      <c r="S165" s="157">
        <v>0</v>
      </c>
      <c r="T165" s="174">
        <v>70.400000000000006</v>
      </c>
      <c r="U165" s="135">
        <v>0.88400000000000001</v>
      </c>
      <c r="V165" s="135">
        <v>0.88400000000000001</v>
      </c>
    </row>
    <row r="166" spans="1:23" s="67" customFormat="1" x14ac:dyDescent="0.2">
      <c r="A166" s="154"/>
      <c r="B166" s="57"/>
      <c r="C166" s="155" t="s">
        <v>79</v>
      </c>
      <c r="D166" s="157">
        <v>2.7</v>
      </c>
      <c r="E166" s="157">
        <v>2.7</v>
      </c>
      <c r="F166" s="157">
        <v>0</v>
      </c>
      <c r="G166" s="157">
        <v>2.9969999999999999</v>
      </c>
      <c r="H166" s="157">
        <v>0</v>
      </c>
      <c r="I166" s="157">
        <v>26.97</v>
      </c>
      <c r="J166" s="157">
        <v>0</v>
      </c>
      <c r="K166" s="157">
        <v>0</v>
      </c>
      <c r="L166" s="157">
        <v>0</v>
      </c>
      <c r="M166" s="157">
        <v>0</v>
      </c>
      <c r="N166" s="157">
        <v>0</v>
      </c>
      <c r="O166" s="157">
        <v>0</v>
      </c>
      <c r="P166" s="157">
        <v>0</v>
      </c>
      <c r="Q166" s="157">
        <v>0</v>
      </c>
      <c r="R166" s="157">
        <v>0</v>
      </c>
      <c r="S166" s="157">
        <v>0</v>
      </c>
      <c r="T166" s="174">
        <v>11.13</v>
      </c>
      <c r="U166" s="135">
        <v>0.14499999999999999</v>
      </c>
      <c r="V166" s="135">
        <v>0.14499999999999999</v>
      </c>
      <c r="W166" s="154"/>
    </row>
    <row r="167" spans="1:23" x14ac:dyDescent="0.2">
      <c r="B167" s="57"/>
      <c r="C167" s="18" t="s">
        <v>77</v>
      </c>
      <c r="D167" s="157"/>
      <c r="E167" s="138"/>
      <c r="F167" s="141">
        <v>7.92</v>
      </c>
      <c r="G167" s="141">
        <v>9.3439999999999994</v>
      </c>
      <c r="H167" s="141">
        <v>6.4740000000000002</v>
      </c>
      <c r="I167" s="141">
        <v>142.43</v>
      </c>
      <c r="J167" s="141">
        <v>103.83</v>
      </c>
      <c r="K167" s="141">
        <v>8.56</v>
      </c>
      <c r="L167" s="141">
        <v>11.58</v>
      </c>
      <c r="M167" s="141">
        <v>69.989999999999995</v>
      </c>
      <c r="N167" s="141">
        <v>0.68899999999999995</v>
      </c>
      <c r="O167" s="141">
        <v>0.01</v>
      </c>
      <c r="P167" s="141">
        <v>5.3999999999999999E-2</v>
      </c>
      <c r="Q167" s="141">
        <v>6.6000000000000003E-2</v>
      </c>
      <c r="R167" s="142">
        <v>2.4569999999999999</v>
      </c>
      <c r="S167" s="143">
        <v>0.74</v>
      </c>
      <c r="T167" s="174"/>
      <c r="U167" s="135">
        <v>20.07</v>
      </c>
      <c r="V167" s="138">
        <v>20.07</v>
      </c>
    </row>
    <row r="168" spans="1:23" x14ac:dyDescent="0.2">
      <c r="B168" s="69" t="s">
        <v>127</v>
      </c>
      <c r="C168" s="19" t="s">
        <v>128</v>
      </c>
      <c r="D168" s="84"/>
      <c r="E168" s="21">
        <v>150</v>
      </c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3"/>
      <c r="U168" s="135"/>
      <c r="V168" s="84"/>
    </row>
    <row r="169" spans="1:23" x14ac:dyDescent="0.2">
      <c r="B169" s="69"/>
      <c r="C169" s="161" t="s">
        <v>120</v>
      </c>
      <c r="D169" s="162">
        <v>213</v>
      </c>
      <c r="E169" s="162">
        <v>171</v>
      </c>
      <c r="F169" s="69">
        <f>1.8*E169/100</f>
        <v>3.0780000000000003</v>
      </c>
      <c r="G169" s="69">
        <v>0</v>
      </c>
      <c r="H169" s="69">
        <f>4.7*E169/100</f>
        <v>8.0370000000000008</v>
      </c>
      <c r="I169" s="69">
        <f>28*E169/100</f>
        <v>47.88</v>
      </c>
      <c r="J169" s="69">
        <f>300*E169/100</f>
        <v>513</v>
      </c>
      <c r="K169" s="69">
        <f>48*E169/100</f>
        <v>82.08</v>
      </c>
      <c r="L169" s="69">
        <f>16*E169/100</f>
        <v>27.36</v>
      </c>
      <c r="M169" s="69">
        <f>31*E169/100</f>
        <v>53.01</v>
      </c>
      <c r="N169" s="69">
        <v>0</v>
      </c>
      <c r="O169" s="69">
        <v>0</v>
      </c>
      <c r="P169" s="69">
        <v>0</v>
      </c>
      <c r="Q169" s="69">
        <v>0</v>
      </c>
      <c r="R169" s="70">
        <v>0</v>
      </c>
      <c r="S169" s="69">
        <f>45*E169/100</f>
        <v>76.95</v>
      </c>
      <c r="T169" s="69"/>
      <c r="U169" s="96">
        <v>35.630000000000003</v>
      </c>
      <c r="V169" s="84">
        <f t="shared" ref="V169:V178" si="15">D169*U169/1000</f>
        <v>7.5891900000000003</v>
      </c>
    </row>
    <row r="170" spans="1:23" x14ac:dyDescent="0.2">
      <c r="B170" s="69"/>
      <c r="C170" s="161" t="s">
        <v>129</v>
      </c>
      <c r="D170" s="162">
        <v>4.5</v>
      </c>
      <c r="E170" s="162">
        <v>4.5</v>
      </c>
      <c r="F170" s="84">
        <v>0</v>
      </c>
      <c r="G170" s="84">
        <v>0</v>
      </c>
      <c r="H170" s="84">
        <v>0</v>
      </c>
      <c r="I170" s="84">
        <v>0</v>
      </c>
      <c r="J170" s="84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0</v>
      </c>
      <c r="Q170" s="84">
        <v>0</v>
      </c>
      <c r="R170" s="84">
        <v>0</v>
      </c>
      <c r="S170" s="84">
        <v>0</v>
      </c>
      <c r="T170" s="69"/>
      <c r="U170" s="96">
        <v>0</v>
      </c>
      <c r="V170" s="84">
        <f t="shared" si="15"/>
        <v>0</v>
      </c>
    </row>
    <row r="171" spans="1:23" ht="17.25" customHeight="1" x14ac:dyDescent="0.2">
      <c r="B171" s="69"/>
      <c r="C171" s="161" t="s">
        <v>76</v>
      </c>
      <c r="D171" s="162">
        <v>6</v>
      </c>
      <c r="E171" s="162">
        <v>6</v>
      </c>
      <c r="F171" s="69">
        <v>0</v>
      </c>
      <c r="G171" s="69">
        <f>99.9*E171/100</f>
        <v>5.9940000000000007</v>
      </c>
      <c r="H171" s="69">
        <v>0</v>
      </c>
      <c r="I171" s="69">
        <f>899*E171/100</f>
        <v>53.94</v>
      </c>
      <c r="J171" s="85">
        <v>0</v>
      </c>
      <c r="K171" s="69">
        <v>0</v>
      </c>
      <c r="L171" s="69">
        <v>0</v>
      </c>
      <c r="M171" s="85">
        <v>0</v>
      </c>
      <c r="N171" s="69">
        <v>0</v>
      </c>
      <c r="O171" s="69">
        <v>0</v>
      </c>
      <c r="P171" s="69">
        <v>0</v>
      </c>
      <c r="Q171" s="69">
        <v>0</v>
      </c>
      <c r="R171" s="69">
        <v>0</v>
      </c>
      <c r="S171" s="69">
        <v>0</v>
      </c>
      <c r="T171" s="69"/>
      <c r="U171" s="96">
        <v>83.43</v>
      </c>
      <c r="V171" s="84">
        <f t="shared" si="15"/>
        <v>0.50058000000000002</v>
      </c>
    </row>
    <row r="172" spans="1:23" x14ac:dyDescent="0.2">
      <c r="B172" s="69"/>
      <c r="C172" s="161" t="s">
        <v>36</v>
      </c>
      <c r="D172" s="159">
        <v>3.6</v>
      </c>
      <c r="E172" s="162">
        <v>3.6</v>
      </c>
      <c r="F172" s="34">
        <f>4.8*E172/100</f>
        <v>0.17280000000000001</v>
      </c>
      <c r="G172" s="34">
        <v>0</v>
      </c>
      <c r="H172" s="34">
        <f>19*E172/100</f>
        <v>0.68400000000000005</v>
      </c>
      <c r="I172" s="34">
        <f>102*E172/100</f>
        <v>3.6719999999999997</v>
      </c>
      <c r="J172" s="34">
        <f>875*E172/100</f>
        <v>31.5</v>
      </c>
      <c r="K172" s="34">
        <f>20*E172/100</f>
        <v>0.72</v>
      </c>
      <c r="L172" s="34">
        <f>50*E172/100</f>
        <v>1.8</v>
      </c>
      <c r="M172" s="34">
        <f>68*E172/100</f>
        <v>2.448</v>
      </c>
      <c r="N172" s="34">
        <f>2.3*E172/100</f>
        <v>8.2799999999999999E-2</v>
      </c>
      <c r="O172" s="34">
        <v>0</v>
      </c>
      <c r="P172" s="34">
        <v>0</v>
      </c>
      <c r="Q172" s="34">
        <v>0</v>
      </c>
      <c r="R172" s="34">
        <v>0</v>
      </c>
      <c r="S172" s="34">
        <f>45*E172/100</f>
        <v>1.62</v>
      </c>
      <c r="T172" s="3"/>
      <c r="U172" s="96">
        <v>120</v>
      </c>
      <c r="V172" s="84">
        <f t="shared" si="15"/>
        <v>0.432</v>
      </c>
    </row>
    <row r="173" spans="1:23" x14ac:dyDescent="0.2">
      <c r="B173" s="69"/>
      <c r="C173" s="65" t="s">
        <v>32</v>
      </c>
      <c r="D173" s="159">
        <v>4.5</v>
      </c>
      <c r="E173" s="159">
        <v>3.8</v>
      </c>
      <c r="F173" s="34">
        <f>1.3*E173/100</f>
        <v>4.9399999999999993E-2</v>
      </c>
      <c r="G173" s="34">
        <v>0</v>
      </c>
      <c r="H173" s="34">
        <f>6.9*E173/100</f>
        <v>0.26219999999999999</v>
      </c>
      <c r="I173" s="34">
        <f>35*E173/100</f>
        <v>1.33</v>
      </c>
      <c r="J173" s="34">
        <f>200*E173/100</f>
        <v>7.6</v>
      </c>
      <c r="K173" s="34">
        <f>27*E173/100</f>
        <v>1.026</v>
      </c>
      <c r="L173" s="34">
        <f>38*E173/100</f>
        <v>1.444</v>
      </c>
      <c r="M173" s="34">
        <f>55*E173/100</f>
        <v>2.09</v>
      </c>
      <c r="N173" s="34">
        <v>0</v>
      </c>
      <c r="O173" s="34">
        <v>0</v>
      </c>
      <c r="P173" s="34">
        <v>0</v>
      </c>
      <c r="Q173" s="34">
        <v>0</v>
      </c>
      <c r="R173" s="34">
        <f>1*E173/100</f>
        <v>3.7999999999999999E-2</v>
      </c>
      <c r="S173" s="34">
        <f>5*E173/100</f>
        <v>0.19</v>
      </c>
      <c r="T173" s="69"/>
      <c r="U173" s="96">
        <v>32.71</v>
      </c>
      <c r="V173" s="84">
        <f t="shared" si="15"/>
        <v>0.14719499999999999</v>
      </c>
    </row>
    <row r="174" spans="1:23" x14ac:dyDescent="0.2">
      <c r="B174" s="69"/>
      <c r="C174" s="65" t="s">
        <v>33</v>
      </c>
      <c r="D174" s="159">
        <v>7.5</v>
      </c>
      <c r="E174" s="159">
        <v>6</v>
      </c>
      <c r="F174" s="69">
        <f>1.4*E174/100</f>
        <v>8.3999999999999991E-2</v>
      </c>
      <c r="G174" s="157">
        <v>0</v>
      </c>
      <c r="H174" s="157">
        <f>8.2*E174/100</f>
        <v>0.49199999999999994</v>
      </c>
      <c r="I174" s="157">
        <f>41*E174/100</f>
        <v>2.46</v>
      </c>
      <c r="J174" s="158">
        <f>175*E174/100</f>
        <v>10.5</v>
      </c>
      <c r="K174" s="157">
        <f>31*E174/100</f>
        <v>1.86</v>
      </c>
      <c r="L174" s="157">
        <f>14*E174/100</f>
        <v>0.84</v>
      </c>
      <c r="M174" s="158">
        <f>58*E174/100</f>
        <v>3.48</v>
      </c>
      <c r="N174" s="157">
        <v>0</v>
      </c>
      <c r="O174" s="157">
        <v>0</v>
      </c>
      <c r="P174" s="157">
        <v>0</v>
      </c>
      <c r="Q174" s="157">
        <v>0</v>
      </c>
      <c r="R174" s="157">
        <v>0</v>
      </c>
      <c r="S174" s="157">
        <f>10*E174/100</f>
        <v>0.6</v>
      </c>
      <c r="T174" s="69"/>
      <c r="U174" s="96">
        <v>29.62</v>
      </c>
      <c r="V174" s="84">
        <f t="shared" si="15"/>
        <v>0.22215000000000001</v>
      </c>
    </row>
    <row r="175" spans="1:23" ht="12.75" customHeight="1" x14ac:dyDescent="0.2">
      <c r="B175" s="69"/>
      <c r="C175" s="65" t="s">
        <v>39</v>
      </c>
      <c r="D175" s="159">
        <v>1.2E-2</v>
      </c>
      <c r="E175" s="159">
        <v>1.2E-2</v>
      </c>
      <c r="F175" s="69">
        <v>0</v>
      </c>
      <c r="G175" s="69">
        <v>0</v>
      </c>
      <c r="H175" s="69">
        <v>0</v>
      </c>
      <c r="I175" s="69">
        <v>0</v>
      </c>
      <c r="J175" s="86">
        <v>0</v>
      </c>
      <c r="K175" s="69">
        <v>0</v>
      </c>
      <c r="L175" s="69">
        <v>0</v>
      </c>
      <c r="M175" s="85">
        <v>0</v>
      </c>
      <c r="N175" s="69">
        <v>0</v>
      </c>
      <c r="O175" s="69">
        <v>0</v>
      </c>
      <c r="P175" s="69">
        <v>0</v>
      </c>
      <c r="Q175" s="69">
        <v>0</v>
      </c>
      <c r="R175" s="70">
        <v>0</v>
      </c>
      <c r="S175" s="69">
        <v>0</v>
      </c>
      <c r="T175" s="69"/>
      <c r="U175" s="96">
        <v>300</v>
      </c>
      <c r="V175" s="84">
        <f t="shared" si="15"/>
        <v>3.5999999999999999E-3</v>
      </c>
    </row>
    <row r="176" spans="1:23" ht="14.25" customHeight="1" x14ac:dyDescent="0.2">
      <c r="B176" s="69"/>
      <c r="C176" s="65" t="s">
        <v>38</v>
      </c>
      <c r="D176" s="159">
        <v>1.5</v>
      </c>
      <c r="E176" s="159">
        <v>1.5</v>
      </c>
      <c r="F176" s="69">
        <f>10.3*E176/100</f>
        <v>0.1545</v>
      </c>
      <c r="G176" s="69">
        <f>1.1*E176/100</f>
        <v>1.6500000000000001E-2</v>
      </c>
      <c r="H176" s="69">
        <f>69*E176/100</f>
        <v>1.0349999999999999</v>
      </c>
      <c r="I176" s="69">
        <f>334*E176/100</f>
        <v>5.01</v>
      </c>
      <c r="J176" s="85">
        <f>176*E176/100</f>
        <v>2.64</v>
      </c>
      <c r="K176" s="69">
        <f>24*E176/100</f>
        <v>0.36</v>
      </c>
      <c r="L176" s="69">
        <f>44*E176/100</f>
        <v>0.66</v>
      </c>
      <c r="M176" s="85">
        <f>115*E176/100</f>
        <v>1.7250000000000001</v>
      </c>
      <c r="N176" s="69">
        <f>2.1*E176/100</f>
        <v>3.15E-2</v>
      </c>
      <c r="O176" s="69">
        <v>0</v>
      </c>
      <c r="P176" s="69">
        <v>0</v>
      </c>
      <c r="Q176" s="69">
        <v>0</v>
      </c>
      <c r="R176" s="69">
        <v>0</v>
      </c>
      <c r="S176" s="69">
        <v>0</v>
      </c>
      <c r="T176" s="69"/>
      <c r="U176" s="96">
        <v>27.31</v>
      </c>
      <c r="V176" s="84">
        <f t="shared" si="15"/>
        <v>4.0964999999999994E-2</v>
      </c>
    </row>
    <row r="177" spans="2:22" x14ac:dyDescent="0.2">
      <c r="B177" s="69"/>
      <c r="C177" s="65" t="s">
        <v>30</v>
      </c>
      <c r="D177" s="159">
        <v>4.5</v>
      </c>
      <c r="E177" s="159">
        <v>4.5</v>
      </c>
      <c r="F177" s="84">
        <v>0</v>
      </c>
      <c r="G177" s="84">
        <v>0</v>
      </c>
      <c r="H177" s="84">
        <f>99.8*E177/100</f>
        <v>4.4909999999999997</v>
      </c>
      <c r="I177" s="84">
        <f>379*E177/100</f>
        <v>17.055</v>
      </c>
      <c r="J177" s="84">
        <f>3*E177/100</f>
        <v>0.13500000000000001</v>
      </c>
      <c r="K177" s="84">
        <f>2*E177/100</f>
        <v>0.09</v>
      </c>
      <c r="L177" s="84">
        <v>0</v>
      </c>
      <c r="M177" s="84">
        <v>0</v>
      </c>
      <c r="N177" s="84">
        <v>0</v>
      </c>
      <c r="O177" s="84">
        <v>0</v>
      </c>
      <c r="P177" s="84">
        <v>0</v>
      </c>
      <c r="Q177" s="84">
        <v>0</v>
      </c>
      <c r="R177" s="84">
        <v>0</v>
      </c>
      <c r="S177" s="84">
        <v>0</v>
      </c>
      <c r="T177" s="69"/>
      <c r="U177" s="96">
        <v>50.97</v>
      </c>
      <c r="V177" s="84">
        <f t="shared" si="15"/>
        <v>0.22936500000000001</v>
      </c>
    </row>
    <row r="178" spans="2:22" x14ac:dyDescent="0.2">
      <c r="B178" s="69"/>
      <c r="C178" s="65" t="s">
        <v>46</v>
      </c>
      <c r="D178" s="159">
        <v>0.5</v>
      </c>
      <c r="E178" s="159">
        <v>0.5</v>
      </c>
      <c r="F178" s="69">
        <v>0</v>
      </c>
      <c r="G178" s="69">
        <v>0</v>
      </c>
      <c r="H178" s="69">
        <v>0</v>
      </c>
      <c r="I178" s="69">
        <v>0</v>
      </c>
      <c r="J178" s="69">
        <v>0</v>
      </c>
      <c r="K178" s="69">
        <v>0</v>
      </c>
      <c r="L178" s="69">
        <v>0</v>
      </c>
      <c r="M178" s="69">
        <v>0</v>
      </c>
      <c r="N178" s="69">
        <v>0</v>
      </c>
      <c r="O178" s="69">
        <v>0</v>
      </c>
      <c r="P178" s="69">
        <v>0</v>
      </c>
      <c r="Q178" s="69">
        <v>0</v>
      </c>
      <c r="R178" s="70">
        <v>0</v>
      </c>
      <c r="S178" s="69">
        <v>0</v>
      </c>
      <c r="T178" s="69"/>
      <c r="U178" s="96">
        <v>11.63</v>
      </c>
      <c r="V178" s="84">
        <f t="shared" si="15"/>
        <v>5.8150000000000007E-3</v>
      </c>
    </row>
    <row r="179" spans="2:22" s="26" customFormat="1" x14ac:dyDescent="0.2">
      <c r="B179" s="69"/>
      <c r="C179" s="90" t="s">
        <v>77</v>
      </c>
      <c r="D179" s="196"/>
      <c r="E179" s="196"/>
      <c r="F179" s="3">
        <f>SUM(F169:F178)</f>
        <v>3.5387000000000004</v>
      </c>
      <c r="G179" s="3">
        <f t="shared" ref="G179:S179" si="16">SUM(G169:G178)</f>
        <v>6.0105000000000004</v>
      </c>
      <c r="H179" s="3">
        <f t="shared" si="16"/>
        <v>15.001199999999999</v>
      </c>
      <c r="I179" s="3">
        <f t="shared" si="16"/>
        <v>131.34699999999998</v>
      </c>
      <c r="J179" s="3">
        <f t="shared" si="16"/>
        <v>565.375</v>
      </c>
      <c r="K179" s="3">
        <f t="shared" si="16"/>
        <v>86.135999999999996</v>
      </c>
      <c r="L179" s="3">
        <f t="shared" si="16"/>
        <v>32.103999999999999</v>
      </c>
      <c r="M179" s="3">
        <f t="shared" si="16"/>
        <v>62.753</v>
      </c>
      <c r="N179" s="3">
        <f t="shared" si="16"/>
        <v>0.1143</v>
      </c>
      <c r="O179" s="3">
        <f t="shared" si="16"/>
        <v>0</v>
      </c>
      <c r="P179" s="3">
        <f t="shared" si="16"/>
        <v>0</v>
      </c>
      <c r="Q179" s="3">
        <f t="shared" si="16"/>
        <v>0</v>
      </c>
      <c r="R179" s="3">
        <f t="shared" si="16"/>
        <v>3.7999999999999999E-2</v>
      </c>
      <c r="S179" s="3">
        <f t="shared" si="16"/>
        <v>79.36</v>
      </c>
      <c r="T179" s="69"/>
      <c r="U179" s="96"/>
      <c r="V179" s="21">
        <f>SUM(V169:V178)</f>
        <v>9.1708599999999993</v>
      </c>
    </row>
    <row r="180" spans="2:22" s="26" customFormat="1" x14ac:dyDescent="0.2">
      <c r="B180" s="69" t="s">
        <v>73</v>
      </c>
      <c r="C180" s="5" t="s">
        <v>74</v>
      </c>
      <c r="D180" s="313" t="s">
        <v>75</v>
      </c>
      <c r="E180" s="314"/>
      <c r="F180" s="4"/>
      <c r="G180" s="4"/>
      <c r="H180" s="4"/>
      <c r="I180" s="4"/>
      <c r="J180" s="11"/>
      <c r="K180" s="4"/>
      <c r="L180" s="4"/>
      <c r="M180" s="11"/>
      <c r="N180" s="4"/>
      <c r="O180" s="4"/>
      <c r="P180" s="4"/>
      <c r="Q180" s="4"/>
      <c r="R180" s="51"/>
      <c r="S180" s="4"/>
      <c r="T180" s="69"/>
      <c r="U180" s="96"/>
      <c r="V180" s="84"/>
    </row>
    <row r="181" spans="2:22" s="26" customFormat="1" x14ac:dyDescent="0.2">
      <c r="B181" s="69"/>
      <c r="C181" s="65" t="s">
        <v>40</v>
      </c>
      <c r="D181" s="159">
        <v>50</v>
      </c>
      <c r="E181" s="159">
        <v>50</v>
      </c>
      <c r="F181" s="69">
        <v>0.1</v>
      </c>
      <c r="G181" s="69">
        <v>0</v>
      </c>
      <c r="H181" s="69">
        <v>0</v>
      </c>
      <c r="I181" s="69">
        <v>0.8</v>
      </c>
      <c r="J181" s="85">
        <v>12.4</v>
      </c>
      <c r="K181" s="69">
        <v>2.5</v>
      </c>
      <c r="L181" s="69">
        <v>2.2000000000000002</v>
      </c>
      <c r="M181" s="85">
        <v>4.12</v>
      </c>
      <c r="N181" s="69">
        <v>0.4</v>
      </c>
      <c r="O181" s="69">
        <v>0</v>
      </c>
      <c r="P181" s="69">
        <v>0</v>
      </c>
      <c r="Q181" s="69">
        <v>0</v>
      </c>
      <c r="R181" s="70">
        <v>0</v>
      </c>
      <c r="S181" s="69">
        <v>0</v>
      </c>
      <c r="T181" s="69"/>
      <c r="U181" s="96">
        <v>539.16999999999996</v>
      </c>
      <c r="V181" s="84">
        <f>1*U181/1000</f>
        <v>0.53916999999999993</v>
      </c>
    </row>
    <row r="182" spans="2:22" s="26" customFormat="1" x14ac:dyDescent="0.2">
      <c r="B182" s="69"/>
      <c r="C182" s="65" t="s">
        <v>30</v>
      </c>
      <c r="D182" s="159">
        <v>15</v>
      </c>
      <c r="E182" s="159">
        <v>15</v>
      </c>
      <c r="F182" s="69">
        <v>0</v>
      </c>
      <c r="G182" s="69">
        <v>0</v>
      </c>
      <c r="H182" s="69">
        <v>15</v>
      </c>
      <c r="I182" s="69">
        <v>56.9</v>
      </c>
      <c r="J182" s="85">
        <v>0.5</v>
      </c>
      <c r="K182" s="69">
        <v>0.4</v>
      </c>
      <c r="L182" s="69">
        <v>0</v>
      </c>
      <c r="M182" s="85">
        <v>0</v>
      </c>
      <c r="N182" s="69">
        <v>0</v>
      </c>
      <c r="O182" s="69">
        <v>0</v>
      </c>
      <c r="P182" s="69">
        <v>0</v>
      </c>
      <c r="Q182" s="69">
        <v>0</v>
      </c>
      <c r="R182" s="70">
        <v>0</v>
      </c>
      <c r="S182" s="69">
        <v>0</v>
      </c>
      <c r="T182" s="69"/>
      <c r="U182" s="96">
        <v>50.97</v>
      </c>
      <c r="V182" s="84">
        <f>D182*U182/1000</f>
        <v>0.76454999999999995</v>
      </c>
    </row>
    <row r="183" spans="2:22" s="26" customFormat="1" x14ac:dyDescent="0.2">
      <c r="B183" s="69"/>
      <c r="C183" s="65" t="s">
        <v>35</v>
      </c>
      <c r="D183" s="159">
        <v>150</v>
      </c>
      <c r="E183" s="159">
        <v>150</v>
      </c>
      <c r="F183" s="69">
        <v>0</v>
      </c>
      <c r="G183" s="69">
        <v>0</v>
      </c>
      <c r="H183" s="69">
        <v>0</v>
      </c>
      <c r="I183" s="69">
        <v>0</v>
      </c>
      <c r="J183" s="69">
        <v>0</v>
      </c>
      <c r="K183" s="69">
        <v>0</v>
      </c>
      <c r="L183" s="69">
        <v>0</v>
      </c>
      <c r="M183" s="69">
        <v>0</v>
      </c>
      <c r="N183" s="69">
        <v>0</v>
      </c>
      <c r="O183" s="69">
        <v>0</v>
      </c>
      <c r="P183" s="69">
        <v>0</v>
      </c>
      <c r="Q183" s="69">
        <v>0</v>
      </c>
      <c r="R183" s="70">
        <v>0</v>
      </c>
      <c r="S183" s="69">
        <v>0</v>
      </c>
      <c r="T183" s="69"/>
      <c r="U183" s="96">
        <v>0</v>
      </c>
      <c r="V183" s="84">
        <f>D183*U183/1000</f>
        <v>0</v>
      </c>
    </row>
    <row r="184" spans="2:22" s="26" customFormat="1" x14ac:dyDescent="0.2">
      <c r="B184" s="69"/>
      <c r="C184" s="39" t="s">
        <v>47</v>
      </c>
      <c r="D184" s="3"/>
      <c r="E184" s="3"/>
      <c r="F184" s="3">
        <f t="shared" ref="F184:S184" si="17">SUM(F181:F183)</f>
        <v>0.1</v>
      </c>
      <c r="G184" s="3">
        <f t="shared" si="17"/>
        <v>0</v>
      </c>
      <c r="H184" s="3">
        <f t="shared" si="17"/>
        <v>15</v>
      </c>
      <c r="I184" s="3">
        <f t="shared" si="17"/>
        <v>57.699999999999996</v>
      </c>
      <c r="J184" s="3">
        <f t="shared" si="17"/>
        <v>12.9</v>
      </c>
      <c r="K184" s="3">
        <f t="shared" si="17"/>
        <v>2.9</v>
      </c>
      <c r="L184" s="3">
        <f t="shared" si="17"/>
        <v>2.2000000000000002</v>
      </c>
      <c r="M184" s="3">
        <f t="shared" si="17"/>
        <v>4.12</v>
      </c>
      <c r="N184" s="3">
        <f t="shared" si="17"/>
        <v>0.4</v>
      </c>
      <c r="O184" s="3">
        <f t="shared" si="17"/>
        <v>0</v>
      </c>
      <c r="P184" s="3">
        <f t="shared" si="17"/>
        <v>0</v>
      </c>
      <c r="Q184" s="3">
        <f t="shared" si="17"/>
        <v>0</v>
      </c>
      <c r="R184" s="50">
        <f t="shared" si="17"/>
        <v>0</v>
      </c>
      <c r="S184" s="3">
        <f t="shared" si="17"/>
        <v>0</v>
      </c>
      <c r="T184" s="3"/>
      <c r="U184" s="32"/>
      <c r="V184" s="21">
        <f>SUM(V181:V183)</f>
        <v>1.3037199999999998</v>
      </c>
    </row>
    <row r="185" spans="2:22" s="26" customFormat="1" ht="25.5" x14ac:dyDescent="0.2">
      <c r="B185" s="69" t="s">
        <v>24</v>
      </c>
      <c r="C185" s="5" t="s">
        <v>105</v>
      </c>
      <c r="D185" s="69">
        <v>30</v>
      </c>
      <c r="E185" s="3">
        <v>30</v>
      </c>
      <c r="F185" s="69">
        <v>1.54</v>
      </c>
      <c r="G185" s="69">
        <v>0.6</v>
      </c>
      <c r="H185" s="69">
        <v>9.9600000000000009</v>
      </c>
      <c r="I185" s="69">
        <v>52.4</v>
      </c>
      <c r="J185" s="69">
        <v>25.4</v>
      </c>
      <c r="K185" s="69">
        <v>5.2</v>
      </c>
      <c r="L185" s="69">
        <v>7</v>
      </c>
      <c r="M185" s="69">
        <v>16.600000000000001</v>
      </c>
      <c r="N185" s="69">
        <v>0.32</v>
      </c>
      <c r="O185" s="69">
        <v>0</v>
      </c>
      <c r="P185" s="69">
        <v>3.2000000000000001E-2</v>
      </c>
      <c r="Q185" s="69">
        <v>1.6E-2</v>
      </c>
      <c r="R185" s="70">
        <v>0.308</v>
      </c>
      <c r="S185" s="69">
        <v>0</v>
      </c>
      <c r="T185" s="69">
        <v>29.29</v>
      </c>
      <c r="U185" s="96">
        <v>0.58584000000000003</v>
      </c>
      <c r="V185" s="84"/>
    </row>
    <row r="186" spans="2:22" s="26" customFormat="1" x14ac:dyDescent="0.2">
      <c r="B186" s="69"/>
      <c r="C186" s="3" t="s">
        <v>164</v>
      </c>
      <c r="D186" s="69"/>
      <c r="E186" s="69"/>
      <c r="F186" s="3">
        <v>31.069400000000002</v>
      </c>
      <c r="G186" s="3">
        <v>30.939299999999999</v>
      </c>
      <c r="H186" s="3">
        <v>107.2024</v>
      </c>
      <c r="I186" s="3">
        <v>781.80960000000005</v>
      </c>
      <c r="J186" s="3">
        <v>710.69899999999996</v>
      </c>
      <c r="K186" s="3">
        <v>65.001999999999995</v>
      </c>
      <c r="L186" s="3">
        <v>68.805999999999997</v>
      </c>
      <c r="M186" s="3">
        <v>254.53200000000001</v>
      </c>
      <c r="N186" s="3">
        <v>7.3377999999999997</v>
      </c>
      <c r="O186" s="3">
        <v>8.2750000000000004E-2</v>
      </c>
      <c r="P186" s="3">
        <v>0.29818</v>
      </c>
      <c r="Q186" s="3">
        <v>0.25728299999999998</v>
      </c>
      <c r="R186" s="50">
        <v>4.6688000000000001</v>
      </c>
      <c r="S186" s="3">
        <v>14.24</v>
      </c>
      <c r="T186" s="3"/>
      <c r="U186" s="32">
        <v>30.55</v>
      </c>
      <c r="V186" s="21">
        <v>30.55</v>
      </c>
    </row>
    <row r="187" spans="2:22" s="26" customFormat="1" x14ac:dyDescent="0.2">
      <c r="B187" s="69"/>
      <c r="C187" s="196" t="s">
        <v>61</v>
      </c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70"/>
      <c r="S187" s="69"/>
      <c r="T187" s="69"/>
      <c r="U187" s="96"/>
      <c r="V187" s="84"/>
    </row>
    <row r="188" spans="2:22" s="26" customFormat="1" x14ac:dyDescent="0.2">
      <c r="B188" s="69"/>
      <c r="C188" s="196" t="s">
        <v>163</v>
      </c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70"/>
      <c r="S188" s="69"/>
      <c r="T188" s="69"/>
      <c r="U188" s="96"/>
      <c r="V188" s="84"/>
    </row>
    <row r="189" spans="2:22" s="26" customFormat="1" x14ac:dyDescent="0.2">
      <c r="B189" s="69" t="s">
        <v>89</v>
      </c>
      <c r="C189" s="5" t="s">
        <v>80</v>
      </c>
      <c r="D189" s="69"/>
      <c r="E189" s="3">
        <v>80</v>
      </c>
      <c r="F189" s="3"/>
      <c r="G189" s="3"/>
      <c r="H189" s="3"/>
      <c r="I189" s="32"/>
      <c r="J189" s="3"/>
      <c r="K189" s="32"/>
      <c r="L189" s="32"/>
      <c r="M189" s="7"/>
      <c r="N189" s="3"/>
      <c r="O189" s="3"/>
      <c r="P189" s="3"/>
      <c r="Q189" s="3"/>
      <c r="R189" s="3"/>
      <c r="S189" s="32"/>
      <c r="T189" s="69"/>
      <c r="U189" s="96"/>
      <c r="V189" s="84"/>
    </row>
    <row r="190" spans="2:22" s="26" customFormat="1" x14ac:dyDescent="0.2">
      <c r="B190" s="69"/>
      <c r="C190" s="155" t="s">
        <v>67</v>
      </c>
      <c r="D190" s="69">
        <v>69.3</v>
      </c>
      <c r="E190" s="69">
        <v>50.6</v>
      </c>
      <c r="F190" s="69">
        <v>11.4</v>
      </c>
      <c r="G190" s="69">
        <v>8.09</v>
      </c>
      <c r="H190" s="69">
        <v>0</v>
      </c>
      <c r="I190" s="96">
        <v>110</v>
      </c>
      <c r="J190" s="69">
        <v>164.5</v>
      </c>
      <c r="K190" s="85">
        <v>4.5</v>
      </c>
      <c r="L190" s="85">
        <v>11.1</v>
      </c>
      <c r="M190" s="85">
        <v>95.1</v>
      </c>
      <c r="N190" s="69">
        <v>1.4</v>
      </c>
      <c r="O190" s="69">
        <v>0</v>
      </c>
      <c r="P190" s="69">
        <v>0.03</v>
      </c>
      <c r="Q190" s="69">
        <v>0.1</v>
      </c>
      <c r="R190" s="69">
        <v>2.2999999999999998</v>
      </c>
      <c r="S190" s="96">
        <v>0</v>
      </c>
      <c r="T190" s="69"/>
      <c r="U190" s="96">
        <v>351.86</v>
      </c>
      <c r="V190" s="84">
        <f>E190*U190/1000</f>
        <v>17.804116</v>
      </c>
    </row>
    <row r="191" spans="2:22" s="26" customFormat="1" x14ac:dyDescent="0.2">
      <c r="B191" s="69"/>
      <c r="C191" s="155" t="s">
        <v>35</v>
      </c>
      <c r="D191" s="69">
        <v>8</v>
      </c>
      <c r="E191" s="69">
        <v>8</v>
      </c>
      <c r="F191" s="69">
        <v>0</v>
      </c>
      <c r="G191" s="69">
        <v>0</v>
      </c>
      <c r="H191" s="69">
        <v>0</v>
      </c>
      <c r="I191" s="69">
        <v>0</v>
      </c>
      <c r="J191" s="69">
        <v>0</v>
      </c>
      <c r="K191" s="69">
        <v>0</v>
      </c>
      <c r="L191" s="69">
        <v>0</v>
      </c>
      <c r="M191" s="69">
        <v>0</v>
      </c>
      <c r="N191" s="69">
        <v>0</v>
      </c>
      <c r="O191" s="69">
        <v>0</v>
      </c>
      <c r="P191" s="69">
        <v>0</v>
      </c>
      <c r="Q191" s="69">
        <v>0</v>
      </c>
      <c r="R191" s="69">
        <v>0</v>
      </c>
      <c r="S191" s="69">
        <v>0</v>
      </c>
      <c r="T191" s="69"/>
      <c r="U191" s="96">
        <v>0</v>
      </c>
      <c r="V191" s="84">
        <v>0</v>
      </c>
    </row>
    <row r="192" spans="2:22" s="26" customFormat="1" x14ac:dyDescent="0.2">
      <c r="B192" s="69"/>
      <c r="C192" s="155" t="s">
        <v>49</v>
      </c>
      <c r="D192" s="69">
        <v>6.6</v>
      </c>
      <c r="E192" s="69">
        <v>6.6</v>
      </c>
      <c r="F192" s="69">
        <v>0.5</v>
      </c>
      <c r="G192" s="69">
        <v>0.06</v>
      </c>
      <c r="H192" s="69">
        <v>4.7</v>
      </c>
      <c r="I192" s="69">
        <v>21.8</v>
      </c>
      <c r="J192" s="69">
        <v>3.6</v>
      </c>
      <c r="K192" s="69">
        <v>1.6</v>
      </c>
      <c r="L192" s="69">
        <v>1.4</v>
      </c>
      <c r="M192" s="69">
        <v>6.4</v>
      </c>
      <c r="N192" s="69">
        <v>0.11</v>
      </c>
      <c r="O192" s="69">
        <v>0</v>
      </c>
      <c r="P192" s="69">
        <v>0.05</v>
      </c>
      <c r="Q192" s="69">
        <v>0.02</v>
      </c>
      <c r="R192" s="69">
        <v>0.1</v>
      </c>
      <c r="S192" s="69">
        <v>0</v>
      </c>
      <c r="T192" s="69"/>
      <c r="U192" s="96">
        <v>56.43</v>
      </c>
      <c r="V192" s="84">
        <f>D192*U192/1000</f>
        <v>0.37243799999999999</v>
      </c>
    </row>
    <row r="193" spans="1:24" s="26" customFormat="1" x14ac:dyDescent="0.2">
      <c r="B193" s="69"/>
      <c r="C193" s="155" t="s">
        <v>33</v>
      </c>
      <c r="D193" s="69">
        <v>28</v>
      </c>
      <c r="E193" s="69">
        <v>24</v>
      </c>
      <c r="F193" s="69">
        <v>0.33</v>
      </c>
      <c r="G193" s="69">
        <v>0.05</v>
      </c>
      <c r="H193" s="69">
        <v>1.9</v>
      </c>
      <c r="I193" s="69">
        <v>9.8000000000000007</v>
      </c>
      <c r="J193" s="69">
        <v>42</v>
      </c>
      <c r="K193" s="85">
        <v>7.4</v>
      </c>
      <c r="L193" s="85">
        <v>3.4</v>
      </c>
      <c r="M193" s="85">
        <v>13.9</v>
      </c>
      <c r="N193" s="69">
        <v>0.2</v>
      </c>
      <c r="O193" s="69">
        <v>0</v>
      </c>
      <c r="P193" s="69">
        <v>0.01</v>
      </c>
      <c r="Q193" s="69">
        <v>0.04</v>
      </c>
      <c r="R193" s="69">
        <v>0.05</v>
      </c>
      <c r="S193" s="96">
        <v>2.4</v>
      </c>
      <c r="T193" s="69"/>
      <c r="U193" s="96">
        <v>29.62</v>
      </c>
      <c r="V193" s="84">
        <f>D193*U193/1000</f>
        <v>0.82935999999999999</v>
      </c>
    </row>
    <row r="194" spans="1:24" s="26" customFormat="1" ht="25.5" x14ac:dyDescent="0.2">
      <c r="B194" s="69"/>
      <c r="C194" s="155" t="s">
        <v>34</v>
      </c>
      <c r="D194" s="84">
        <v>10.6</v>
      </c>
      <c r="E194" s="84">
        <v>10.6</v>
      </c>
      <c r="F194" s="69">
        <v>0</v>
      </c>
      <c r="G194" s="69">
        <f>99.9*E194/100</f>
        <v>10.589400000000001</v>
      </c>
      <c r="H194" s="69">
        <f>0</f>
        <v>0</v>
      </c>
      <c r="I194" s="69">
        <f>899*E194/100</f>
        <v>95.293999999999997</v>
      </c>
      <c r="J194" s="86">
        <v>0</v>
      </c>
      <c r="K194" s="69">
        <v>0</v>
      </c>
      <c r="L194" s="69">
        <v>0</v>
      </c>
      <c r="M194" s="87">
        <v>0</v>
      </c>
      <c r="N194" s="69">
        <v>0</v>
      </c>
      <c r="O194" s="69">
        <v>0</v>
      </c>
      <c r="P194" s="69">
        <v>0</v>
      </c>
      <c r="Q194" s="69">
        <v>0</v>
      </c>
      <c r="R194" s="69">
        <v>0</v>
      </c>
      <c r="S194" s="69">
        <v>0</v>
      </c>
      <c r="T194" s="69"/>
      <c r="U194" s="96">
        <v>83.43</v>
      </c>
      <c r="V194" s="84">
        <f>D194*U194/1000</f>
        <v>0.88435800000000009</v>
      </c>
    </row>
    <row r="195" spans="1:24" s="26" customFormat="1" x14ac:dyDescent="0.2">
      <c r="B195" s="69"/>
      <c r="C195" s="155" t="s">
        <v>69</v>
      </c>
      <c r="D195" s="84">
        <v>5.3</v>
      </c>
      <c r="E195" s="84">
        <v>5.3</v>
      </c>
      <c r="F195" s="84">
        <v>0.5</v>
      </c>
      <c r="G195" s="84">
        <v>0.05</v>
      </c>
      <c r="H195" s="84">
        <v>3.6</v>
      </c>
      <c r="I195" s="84">
        <v>17.7</v>
      </c>
      <c r="J195" s="84">
        <v>9.3000000000000007</v>
      </c>
      <c r="K195" s="177">
        <v>1.3</v>
      </c>
      <c r="L195" s="84">
        <v>2.33</v>
      </c>
      <c r="M195" s="177">
        <v>6.09</v>
      </c>
      <c r="N195" s="84">
        <v>0.11</v>
      </c>
      <c r="O195" s="84">
        <v>0</v>
      </c>
      <c r="P195" s="69">
        <v>0.09</v>
      </c>
      <c r="Q195" s="69">
        <v>0.04</v>
      </c>
      <c r="R195" s="69">
        <v>0.06</v>
      </c>
      <c r="S195" s="69">
        <v>0</v>
      </c>
      <c r="T195" s="69"/>
      <c r="U195" s="96">
        <v>27.31</v>
      </c>
      <c r="V195" s="84">
        <f>D195*U195/1000</f>
        <v>0.14474299999999998</v>
      </c>
    </row>
    <row r="196" spans="1:24" s="26" customFormat="1" x14ac:dyDescent="0.2">
      <c r="B196" s="69"/>
      <c r="C196" s="155" t="s">
        <v>46</v>
      </c>
      <c r="D196" s="84">
        <v>3</v>
      </c>
      <c r="E196" s="84">
        <v>3</v>
      </c>
      <c r="F196" s="84">
        <v>0</v>
      </c>
      <c r="G196" s="84">
        <v>0</v>
      </c>
      <c r="H196" s="84">
        <v>0</v>
      </c>
      <c r="I196" s="84">
        <v>0</v>
      </c>
      <c r="J196" s="84">
        <v>0</v>
      </c>
      <c r="K196" s="177">
        <v>0</v>
      </c>
      <c r="L196" s="84">
        <v>0</v>
      </c>
      <c r="M196" s="177">
        <v>0</v>
      </c>
      <c r="N196" s="84">
        <v>0</v>
      </c>
      <c r="O196" s="84">
        <v>0</v>
      </c>
      <c r="P196" s="84">
        <v>0</v>
      </c>
      <c r="Q196" s="84">
        <v>0</v>
      </c>
      <c r="R196" s="84">
        <v>0</v>
      </c>
      <c r="S196" s="84">
        <v>0</v>
      </c>
      <c r="T196" s="69"/>
      <c r="U196" s="96">
        <v>11.63</v>
      </c>
      <c r="V196" s="84">
        <f>D196*U196/1000</f>
        <v>3.4889999999999997E-2</v>
      </c>
    </row>
    <row r="197" spans="1:24" s="67" customFormat="1" x14ac:dyDescent="0.2">
      <c r="A197" s="154"/>
      <c r="B197" s="144"/>
      <c r="C197" s="18" t="s">
        <v>77</v>
      </c>
      <c r="D197" s="21"/>
      <c r="E197" s="21"/>
      <c r="F197" s="21">
        <f>SUM(F190:F196)</f>
        <v>12.73</v>
      </c>
      <c r="G197" s="21">
        <f t="shared" ref="G197:S197" si="18">SUM(G190:G196)</f>
        <v>18.839400000000001</v>
      </c>
      <c r="H197" s="21">
        <f t="shared" si="18"/>
        <v>10.199999999999999</v>
      </c>
      <c r="I197" s="21">
        <f t="shared" si="18"/>
        <v>254.59399999999999</v>
      </c>
      <c r="J197" s="21">
        <f t="shared" si="18"/>
        <v>219.4</v>
      </c>
      <c r="K197" s="21">
        <f t="shared" si="18"/>
        <v>14.8</v>
      </c>
      <c r="L197" s="21">
        <f t="shared" si="18"/>
        <v>18.23</v>
      </c>
      <c r="M197" s="21">
        <f t="shared" si="18"/>
        <v>121.49000000000001</v>
      </c>
      <c r="N197" s="21">
        <f t="shared" si="18"/>
        <v>1.82</v>
      </c>
      <c r="O197" s="21">
        <f t="shared" si="18"/>
        <v>0</v>
      </c>
      <c r="P197" s="21">
        <f t="shared" si="18"/>
        <v>0.18</v>
      </c>
      <c r="Q197" s="21">
        <f t="shared" si="18"/>
        <v>0.2</v>
      </c>
      <c r="R197" s="21">
        <f t="shared" si="18"/>
        <v>2.5099999999999998</v>
      </c>
      <c r="S197" s="21">
        <f t="shared" si="18"/>
        <v>2.4</v>
      </c>
      <c r="T197" s="69"/>
      <c r="U197" s="96"/>
      <c r="V197" s="21">
        <f>SUM(V190:V196)</f>
        <v>20.069904999999999</v>
      </c>
      <c r="W197" s="154"/>
      <c r="X197" s="154"/>
    </row>
    <row r="198" spans="1:24" s="67" customFormat="1" x14ac:dyDescent="0.2">
      <c r="A198" s="154"/>
      <c r="B198" s="136" t="s">
        <v>98</v>
      </c>
      <c r="C198" s="71" t="s">
        <v>99</v>
      </c>
      <c r="D198" s="72"/>
      <c r="E198" s="73">
        <v>50</v>
      </c>
      <c r="F198" s="29"/>
      <c r="G198" s="74"/>
      <c r="H198" s="74"/>
      <c r="I198" s="74"/>
      <c r="J198" s="75"/>
      <c r="K198" s="74"/>
      <c r="L198" s="74"/>
      <c r="M198" s="75"/>
      <c r="N198" s="74"/>
      <c r="O198" s="74"/>
      <c r="P198" s="74"/>
      <c r="Q198" s="74"/>
      <c r="R198" s="74"/>
      <c r="S198" s="74"/>
      <c r="T198" s="69"/>
      <c r="U198" s="96"/>
      <c r="V198" s="84"/>
      <c r="W198" s="154"/>
      <c r="X198" s="154"/>
    </row>
    <row r="199" spans="1:24" s="26" customFormat="1" x14ac:dyDescent="0.2">
      <c r="B199" s="136"/>
      <c r="C199" s="30" t="s">
        <v>100</v>
      </c>
      <c r="D199" s="31">
        <v>50</v>
      </c>
      <c r="E199" s="31">
        <v>50</v>
      </c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69"/>
      <c r="U199" s="96">
        <v>0</v>
      </c>
      <c r="V199" s="84">
        <v>0</v>
      </c>
    </row>
    <row r="200" spans="1:24" s="26" customFormat="1" ht="25.5" x14ac:dyDescent="0.2">
      <c r="B200" s="136"/>
      <c r="C200" s="30" t="s">
        <v>34</v>
      </c>
      <c r="D200" s="31">
        <v>2.5</v>
      </c>
      <c r="E200" s="31">
        <v>2.5</v>
      </c>
      <c r="F200" s="31">
        <v>0</v>
      </c>
      <c r="G200" s="31">
        <v>2.5</v>
      </c>
      <c r="H200" s="31">
        <v>0</v>
      </c>
      <c r="I200" s="31">
        <v>22.4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69"/>
      <c r="U200" s="96">
        <v>83.43</v>
      </c>
      <c r="V200" s="84">
        <f t="shared" ref="V200:V207" si="19">D200*U200/1000</f>
        <v>0.20857500000000001</v>
      </c>
    </row>
    <row r="201" spans="1:24" x14ac:dyDescent="0.2">
      <c r="B201" s="136"/>
      <c r="C201" s="30" t="s">
        <v>38</v>
      </c>
      <c r="D201" s="31">
        <v>2.5</v>
      </c>
      <c r="E201" s="31">
        <v>2.5</v>
      </c>
      <c r="F201" s="31">
        <v>0.3</v>
      </c>
      <c r="G201" s="31">
        <v>0</v>
      </c>
      <c r="H201" s="31">
        <v>1.7</v>
      </c>
      <c r="I201" s="31">
        <v>8.4</v>
      </c>
      <c r="J201" s="31">
        <v>4.4000000000000004</v>
      </c>
      <c r="K201" s="31">
        <v>0.6</v>
      </c>
      <c r="L201" s="31">
        <v>1.1000000000000001</v>
      </c>
      <c r="M201" s="31">
        <v>2.9</v>
      </c>
      <c r="N201" s="31">
        <v>0.05</v>
      </c>
      <c r="O201" s="31">
        <v>0</v>
      </c>
      <c r="P201" s="31">
        <v>0</v>
      </c>
      <c r="Q201" s="31">
        <v>0</v>
      </c>
      <c r="R201" s="31">
        <v>0.03</v>
      </c>
      <c r="S201" s="31">
        <v>0</v>
      </c>
      <c r="T201" s="69"/>
      <c r="U201" s="96">
        <v>27.31</v>
      </c>
      <c r="V201" s="84">
        <f t="shared" si="19"/>
        <v>6.8274999999999988E-2</v>
      </c>
    </row>
    <row r="202" spans="1:24" x14ac:dyDescent="0.2">
      <c r="A202" s="54"/>
      <c r="B202" s="136"/>
      <c r="C202" s="30" t="s">
        <v>36</v>
      </c>
      <c r="D202" s="31">
        <v>2</v>
      </c>
      <c r="E202" s="31">
        <v>2</v>
      </c>
      <c r="F202" s="31">
        <v>0.1</v>
      </c>
      <c r="G202" s="31">
        <v>0</v>
      </c>
      <c r="H202" s="31">
        <v>0.4</v>
      </c>
      <c r="I202" s="31">
        <v>2</v>
      </c>
      <c r="J202" s="31">
        <v>17.5</v>
      </c>
      <c r="K202" s="31">
        <v>0.4</v>
      </c>
      <c r="L202" s="31">
        <v>1</v>
      </c>
      <c r="M202" s="31">
        <v>1.36</v>
      </c>
      <c r="N202" s="31">
        <v>0.05</v>
      </c>
      <c r="O202" s="31">
        <v>0</v>
      </c>
      <c r="P202" s="31">
        <v>0</v>
      </c>
      <c r="Q202" s="31">
        <v>0</v>
      </c>
      <c r="R202" s="31">
        <v>0.04</v>
      </c>
      <c r="S202" s="31">
        <v>0.9</v>
      </c>
      <c r="T202" s="69"/>
      <c r="U202" s="96">
        <v>120</v>
      </c>
      <c r="V202" s="84">
        <f t="shared" si="19"/>
        <v>0.24</v>
      </c>
      <c r="W202" s="54"/>
    </row>
    <row r="203" spans="1:24" x14ac:dyDescent="0.2">
      <c r="A203" s="54"/>
      <c r="B203" s="136"/>
      <c r="C203" s="30" t="s">
        <v>32</v>
      </c>
      <c r="D203" s="31">
        <v>5</v>
      </c>
      <c r="E203" s="31">
        <v>4</v>
      </c>
      <c r="F203" s="31">
        <v>0.06</v>
      </c>
      <c r="G203" s="31">
        <v>0</v>
      </c>
      <c r="H203" s="31">
        <v>0.28000000000000003</v>
      </c>
      <c r="I203" s="31">
        <v>1.4</v>
      </c>
      <c r="J203" s="31">
        <v>8</v>
      </c>
      <c r="K203" s="31">
        <v>1</v>
      </c>
      <c r="L203" s="31">
        <v>1.5</v>
      </c>
      <c r="M203" s="31">
        <v>2.2000000000000002</v>
      </c>
      <c r="N203" s="31">
        <v>0</v>
      </c>
      <c r="O203" s="31">
        <v>0</v>
      </c>
      <c r="P203" s="31">
        <v>0</v>
      </c>
      <c r="Q203" s="31">
        <v>0</v>
      </c>
      <c r="R203" s="31">
        <v>0.04</v>
      </c>
      <c r="S203" s="31">
        <v>0.2</v>
      </c>
      <c r="T203" s="69"/>
      <c r="U203" s="96">
        <v>32.71</v>
      </c>
      <c r="V203" s="84">
        <f t="shared" si="19"/>
        <v>0.16355</v>
      </c>
      <c r="W203" s="54"/>
    </row>
    <row r="204" spans="1:24" x14ac:dyDescent="0.2">
      <c r="A204" s="54"/>
      <c r="B204" s="136"/>
      <c r="C204" s="30" t="s">
        <v>33</v>
      </c>
      <c r="D204" s="31">
        <v>1.2</v>
      </c>
      <c r="E204" s="31">
        <v>1</v>
      </c>
      <c r="F204" s="31">
        <v>0.01</v>
      </c>
      <c r="G204" s="31">
        <v>0</v>
      </c>
      <c r="H204" s="31">
        <v>0.08</v>
      </c>
      <c r="I204" s="31">
        <v>0.41</v>
      </c>
      <c r="J204" s="31">
        <v>1.75</v>
      </c>
      <c r="K204" s="31">
        <v>0.31</v>
      </c>
      <c r="L204" s="31">
        <v>0.14000000000000001</v>
      </c>
      <c r="M204" s="31">
        <v>0.57999999999999996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0.1</v>
      </c>
      <c r="T204" s="69"/>
      <c r="U204" s="96">
        <v>29.62</v>
      </c>
      <c r="V204" s="84">
        <f t="shared" si="19"/>
        <v>3.5543999999999999E-2</v>
      </c>
      <c r="W204" s="54"/>
    </row>
    <row r="205" spans="1:24" x14ac:dyDescent="0.2">
      <c r="A205" s="54"/>
      <c r="B205" s="136"/>
      <c r="C205" s="30" t="s">
        <v>30</v>
      </c>
      <c r="D205" s="31">
        <v>0.75</v>
      </c>
      <c r="E205" s="31">
        <v>0.75</v>
      </c>
      <c r="F205" s="31">
        <v>0</v>
      </c>
      <c r="G205" s="31">
        <v>0</v>
      </c>
      <c r="H205" s="31">
        <v>0.7</v>
      </c>
      <c r="I205" s="31">
        <v>2.8</v>
      </c>
      <c r="J205" s="31">
        <v>0.02</v>
      </c>
      <c r="K205" s="31">
        <v>0.01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69"/>
      <c r="U205" s="96">
        <v>50.97</v>
      </c>
      <c r="V205" s="84">
        <f t="shared" si="19"/>
        <v>3.8227499999999998E-2</v>
      </c>
      <c r="W205" s="54"/>
    </row>
    <row r="206" spans="1:24" x14ac:dyDescent="0.2">
      <c r="A206" s="54"/>
      <c r="B206" s="136"/>
      <c r="C206" s="30" t="s">
        <v>46</v>
      </c>
      <c r="D206" s="31">
        <v>0.5</v>
      </c>
      <c r="E206" s="31">
        <v>0.5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69"/>
      <c r="U206" s="96">
        <v>11.63</v>
      </c>
      <c r="V206" s="84">
        <f t="shared" si="19"/>
        <v>5.8150000000000007E-3</v>
      </c>
      <c r="W206" s="54"/>
    </row>
    <row r="207" spans="1:24" x14ac:dyDescent="0.2">
      <c r="A207" s="54"/>
      <c r="B207" s="136"/>
      <c r="C207" s="76" t="s">
        <v>39</v>
      </c>
      <c r="D207" s="34">
        <v>0.02</v>
      </c>
      <c r="E207" s="34">
        <v>0.02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69"/>
      <c r="U207" s="96">
        <v>300</v>
      </c>
      <c r="V207" s="84">
        <f t="shared" si="19"/>
        <v>6.0000000000000001E-3</v>
      </c>
      <c r="W207" s="54"/>
    </row>
    <row r="208" spans="1:24" x14ac:dyDescent="0.2">
      <c r="A208" s="54"/>
      <c r="B208" s="136"/>
      <c r="C208" s="71" t="s">
        <v>77</v>
      </c>
      <c r="D208" s="79"/>
      <c r="E208" s="79"/>
      <c r="F208" s="79">
        <f>SUM(F199:F207)</f>
        <v>0.47000000000000003</v>
      </c>
      <c r="G208" s="79">
        <f t="shared" ref="G208:S208" si="20">SUM(G199:G207)</f>
        <v>2.5</v>
      </c>
      <c r="H208" s="79">
        <f t="shared" si="20"/>
        <v>3.16</v>
      </c>
      <c r="I208" s="79">
        <f t="shared" si="20"/>
        <v>37.409999999999989</v>
      </c>
      <c r="J208" s="79">
        <f t="shared" si="20"/>
        <v>31.669999999999998</v>
      </c>
      <c r="K208" s="79">
        <f t="shared" si="20"/>
        <v>2.3199999999999998</v>
      </c>
      <c r="L208" s="79">
        <f t="shared" si="20"/>
        <v>3.74</v>
      </c>
      <c r="M208" s="79">
        <f t="shared" si="20"/>
        <v>7.04</v>
      </c>
      <c r="N208" s="79">
        <f t="shared" si="20"/>
        <v>0.1</v>
      </c>
      <c r="O208" s="79">
        <f t="shared" si="20"/>
        <v>0</v>
      </c>
      <c r="P208" s="79">
        <f t="shared" si="20"/>
        <v>0</v>
      </c>
      <c r="Q208" s="79">
        <f t="shared" si="20"/>
        <v>0</v>
      </c>
      <c r="R208" s="79">
        <f t="shared" si="20"/>
        <v>0.11000000000000001</v>
      </c>
      <c r="S208" s="79">
        <f t="shared" si="20"/>
        <v>1.2000000000000002</v>
      </c>
      <c r="T208" s="69"/>
      <c r="U208" s="96"/>
      <c r="V208" s="21">
        <f>SUM(V199:V207)</f>
        <v>0.76598650000000001</v>
      </c>
      <c r="W208" s="54"/>
    </row>
    <row r="209" spans="1:23" ht="25.5" x14ac:dyDescent="0.2">
      <c r="A209" s="54"/>
      <c r="B209" s="31" t="s">
        <v>70</v>
      </c>
      <c r="C209" s="28" t="s">
        <v>71</v>
      </c>
      <c r="D209" s="31"/>
      <c r="E209" s="29">
        <v>150</v>
      </c>
      <c r="F209" s="29"/>
      <c r="G209" s="29"/>
      <c r="H209" s="59"/>
      <c r="I209" s="29"/>
      <c r="J209" s="59"/>
      <c r="K209" s="49"/>
      <c r="L209" s="29"/>
      <c r="M209" s="29"/>
      <c r="N209" s="29"/>
      <c r="O209" s="29"/>
      <c r="P209" s="29"/>
      <c r="Q209" s="29"/>
      <c r="R209" s="29"/>
      <c r="S209" s="29"/>
      <c r="T209" s="69"/>
      <c r="U209" s="96"/>
      <c r="V209" s="84"/>
      <c r="W209" s="54"/>
    </row>
    <row r="210" spans="1:23" x14ac:dyDescent="0.2">
      <c r="A210" s="54"/>
      <c r="B210" s="31"/>
      <c r="C210" s="30" t="s">
        <v>72</v>
      </c>
      <c r="D210" s="31">
        <v>50</v>
      </c>
      <c r="E210" s="31">
        <v>50</v>
      </c>
      <c r="F210" s="31">
        <v>6.3</v>
      </c>
      <c r="G210" s="31">
        <v>0.67</v>
      </c>
      <c r="H210" s="33">
        <v>42.5</v>
      </c>
      <c r="I210" s="31">
        <v>205.57</v>
      </c>
      <c r="J210" s="60">
        <v>75.64</v>
      </c>
      <c r="K210" s="60">
        <v>10.98</v>
      </c>
      <c r="L210" s="31">
        <v>9.76</v>
      </c>
      <c r="M210" s="31">
        <v>53</v>
      </c>
      <c r="N210" s="31">
        <v>0.73</v>
      </c>
      <c r="O210" s="31">
        <v>0</v>
      </c>
      <c r="P210" s="31">
        <v>0.1</v>
      </c>
      <c r="Q210" s="31">
        <v>0.04</v>
      </c>
      <c r="R210" s="31">
        <v>0.74</v>
      </c>
      <c r="S210" s="31">
        <v>0</v>
      </c>
      <c r="T210" s="69"/>
      <c r="U210" s="96">
        <v>44.89</v>
      </c>
      <c r="V210" s="84">
        <f>D210*U210/1000</f>
        <v>2.2444999999999999</v>
      </c>
      <c r="W210" s="54"/>
    </row>
    <row r="211" spans="1:23" x14ac:dyDescent="0.2">
      <c r="A211" s="54"/>
      <c r="B211" s="31"/>
      <c r="C211" s="30" t="s">
        <v>46</v>
      </c>
      <c r="D211" s="31">
        <v>1.6</v>
      </c>
      <c r="E211" s="31">
        <v>1.6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69"/>
      <c r="U211" s="96">
        <v>11.63</v>
      </c>
      <c r="V211" s="84">
        <f>D211*U211/1000</f>
        <v>1.8608E-2</v>
      </c>
      <c r="W211" s="54"/>
    </row>
    <row r="212" spans="1:23" x14ac:dyDescent="0.2">
      <c r="A212" s="54"/>
      <c r="B212" s="31"/>
      <c r="C212" s="30" t="s">
        <v>37</v>
      </c>
      <c r="D212" s="31">
        <v>5.3</v>
      </c>
      <c r="E212" s="31">
        <v>5.3</v>
      </c>
      <c r="F212" s="69">
        <f>0.8*E212/100</f>
        <v>4.24E-2</v>
      </c>
      <c r="G212" s="69">
        <f>72.5*E212/100</f>
        <v>3.8424999999999998</v>
      </c>
      <c r="H212" s="69">
        <f>1.3*E212/100</f>
        <v>6.8900000000000003E-2</v>
      </c>
      <c r="I212" s="69">
        <f>661*E212/100</f>
        <v>35.032999999999994</v>
      </c>
      <c r="J212" s="86">
        <f>23*E212/100</f>
        <v>1.2189999999999999</v>
      </c>
      <c r="K212" s="69">
        <f>22*E212/100</f>
        <v>1.1659999999999999</v>
      </c>
      <c r="L212" s="69">
        <f>3*E212/100</f>
        <v>0.15899999999999997</v>
      </c>
      <c r="M212" s="85">
        <f>19*E212/100</f>
        <v>1.0070000000000001</v>
      </c>
      <c r="N212" s="69">
        <f>0.2*E212/100</f>
        <v>1.06E-2</v>
      </c>
      <c r="O212" s="69">
        <f>0.5*E212/100</f>
        <v>2.6499999999999999E-2</v>
      </c>
      <c r="P212" s="69">
        <f>0</f>
        <v>0</v>
      </c>
      <c r="Q212" s="96">
        <f>0.01*E212/1000</f>
        <v>5.3000000000000001E-5</v>
      </c>
      <c r="R212" s="69">
        <f>0.1*E212/100</f>
        <v>5.3E-3</v>
      </c>
      <c r="S212" s="69">
        <f>0</f>
        <v>0</v>
      </c>
      <c r="T212" s="69"/>
      <c r="U212" s="96">
        <v>337.78</v>
      </c>
      <c r="V212" s="84">
        <f>D212*U212/1000</f>
        <v>1.7902339999999997</v>
      </c>
      <c r="W212" s="54"/>
    </row>
    <row r="213" spans="1:23" x14ac:dyDescent="0.2">
      <c r="A213" s="54"/>
      <c r="B213" s="125"/>
      <c r="C213" s="71" t="s">
        <v>77</v>
      </c>
      <c r="D213" s="79"/>
      <c r="E213" s="79"/>
      <c r="F213" s="79">
        <v>6.3423999999999996</v>
      </c>
      <c r="G213" s="79">
        <v>4.5125000000000002</v>
      </c>
      <c r="H213" s="79">
        <v>42.569000000000003</v>
      </c>
      <c r="I213" s="79">
        <v>240.6</v>
      </c>
      <c r="J213" s="79">
        <v>76.858999999999995</v>
      </c>
      <c r="K213" s="79">
        <v>12.146000000000001</v>
      </c>
      <c r="L213" s="79">
        <v>9.9190000000000005</v>
      </c>
      <c r="M213" s="79">
        <v>54.006999999999998</v>
      </c>
      <c r="N213" s="79">
        <v>0.74099999999999999</v>
      </c>
      <c r="O213" s="79">
        <v>0.03</v>
      </c>
      <c r="P213" s="79">
        <v>0.1</v>
      </c>
      <c r="Q213" s="79">
        <v>0.04</v>
      </c>
      <c r="R213" s="79">
        <v>0.745</v>
      </c>
      <c r="S213" s="79">
        <v>0</v>
      </c>
      <c r="T213" s="183"/>
      <c r="U213" s="21">
        <v>4.0529999999999999</v>
      </c>
      <c r="V213" s="21">
        <v>4.0529999999999999</v>
      </c>
      <c r="W213" s="54"/>
    </row>
    <row r="214" spans="1:23" x14ac:dyDescent="0.2">
      <c r="A214" s="54"/>
      <c r="B214" s="69" t="s">
        <v>73</v>
      </c>
      <c r="C214" s="19" t="s">
        <v>74</v>
      </c>
      <c r="D214" s="313" t="s">
        <v>75</v>
      </c>
      <c r="E214" s="316"/>
      <c r="F214" s="131"/>
      <c r="G214" s="131"/>
      <c r="H214" s="131"/>
      <c r="I214" s="131"/>
      <c r="J214" s="133"/>
      <c r="K214" s="131"/>
      <c r="L214" s="131"/>
      <c r="M214" s="133"/>
      <c r="N214" s="131"/>
      <c r="O214" s="131"/>
      <c r="P214" s="131"/>
      <c r="Q214" s="131"/>
      <c r="R214" s="134"/>
      <c r="S214" s="4"/>
      <c r="T214" s="168"/>
      <c r="U214" s="84"/>
      <c r="V214" s="84"/>
      <c r="W214" s="54"/>
    </row>
    <row r="215" spans="1:23" x14ac:dyDescent="0.2">
      <c r="A215" s="54"/>
      <c r="B215" s="144"/>
      <c r="C215" s="155" t="s">
        <v>40</v>
      </c>
      <c r="D215" s="178">
        <v>50</v>
      </c>
      <c r="E215" s="178">
        <v>50</v>
      </c>
      <c r="F215" s="157">
        <v>0.1</v>
      </c>
      <c r="G215" s="157">
        <v>0</v>
      </c>
      <c r="H215" s="157">
        <v>0</v>
      </c>
      <c r="I215" s="157">
        <v>0.8</v>
      </c>
      <c r="J215" s="158">
        <v>12.4</v>
      </c>
      <c r="K215" s="157">
        <v>2.5</v>
      </c>
      <c r="L215" s="157">
        <v>2.2000000000000002</v>
      </c>
      <c r="M215" s="158">
        <v>4.0999999999999996</v>
      </c>
      <c r="N215" s="157">
        <v>0.4</v>
      </c>
      <c r="O215" s="157">
        <v>0</v>
      </c>
      <c r="P215" s="157">
        <v>0</v>
      </c>
      <c r="Q215" s="157">
        <v>0</v>
      </c>
      <c r="R215" s="179">
        <v>0</v>
      </c>
      <c r="S215" s="144">
        <v>0</v>
      </c>
      <c r="T215" s="176">
        <v>539.16999999999996</v>
      </c>
      <c r="U215" s="157">
        <v>0.53900000000000003</v>
      </c>
      <c r="V215" s="157">
        <v>0.53900000000000003</v>
      </c>
      <c r="W215" s="54"/>
    </row>
    <row r="216" spans="1:23" x14ac:dyDescent="0.2">
      <c r="A216" s="54"/>
      <c r="B216" s="144"/>
      <c r="C216" s="155" t="s">
        <v>30</v>
      </c>
      <c r="D216" s="178">
        <v>15</v>
      </c>
      <c r="E216" s="178">
        <v>15</v>
      </c>
      <c r="F216" s="157">
        <v>0</v>
      </c>
      <c r="G216" s="157">
        <v>0</v>
      </c>
      <c r="H216" s="157">
        <v>15</v>
      </c>
      <c r="I216" s="157">
        <v>56.9</v>
      </c>
      <c r="J216" s="158">
        <v>0.5</v>
      </c>
      <c r="K216" s="157">
        <v>0.4</v>
      </c>
      <c r="L216" s="157">
        <v>0</v>
      </c>
      <c r="M216" s="158">
        <v>0</v>
      </c>
      <c r="N216" s="157">
        <v>0</v>
      </c>
      <c r="O216" s="157">
        <v>0</v>
      </c>
      <c r="P216" s="157">
        <v>0</v>
      </c>
      <c r="Q216" s="157">
        <v>0</v>
      </c>
      <c r="R216" s="179">
        <v>0</v>
      </c>
      <c r="S216" s="144">
        <v>0</v>
      </c>
      <c r="T216" s="176">
        <v>50.97</v>
      </c>
      <c r="U216" s="157">
        <v>0.76500000000000001</v>
      </c>
      <c r="V216" s="157">
        <v>0.76500000000000001</v>
      </c>
      <c r="W216" s="54"/>
    </row>
    <row r="217" spans="1:23" x14ac:dyDescent="0.2">
      <c r="A217" s="54"/>
      <c r="B217" s="144"/>
      <c r="C217" s="155" t="s">
        <v>35</v>
      </c>
      <c r="D217" s="178">
        <v>150</v>
      </c>
      <c r="E217" s="178">
        <v>150</v>
      </c>
      <c r="F217" s="157">
        <v>0</v>
      </c>
      <c r="G217" s="157">
        <v>0</v>
      </c>
      <c r="H217" s="157">
        <v>0</v>
      </c>
      <c r="I217" s="157">
        <v>0</v>
      </c>
      <c r="J217" s="157">
        <v>0</v>
      </c>
      <c r="K217" s="157">
        <v>0</v>
      </c>
      <c r="L217" s="157">
        <v>0</v>
      </c>
      <c r="M217" s="157">
        <v>0</v>
      </c>
      <c r="N217" s="157">
        <v>0</v>
      </c>
      <c r="O217" s="157">
        <v>0</v>
      </c>
      <c r="P217" s="157">
        <v>0</v>
      </c>
      <c r="Q217" s="157">
        <v>0</v>
      </c>
      <c r="R217" s="179">
        <v>0</v>
      </c>
      <c r="S217" s="144">
        <v>0</v>
      </c>
      <c r="T217" s="176">
        <v>0</v>
      </c>
      <c r="U217" s="157">
        <v>0</v>
      </c>
      <c r="V217" s="157">
        <v>0</v>
      </c>
      <c r="W217" s="54"/>
    </row>
    <row r="218" spans="1:23" x14ac:dyDescent="0.2">
      <c r="A218" s="54"/>
      <c r="B218" s="144"/>
      <c r="C218" s="163" t="s">
        <v>47</v>
      </c>
      <c r="D218" s="138"/>
      <c r="E218" s="138"/>
      <c r="F218" s="138">
        <v>0.1</v>
      </c>
      <c r="G218" s="138">
        <v>0</v>
      </c>
      <c r="H218" s="138">
        <v>15</v>
      </c>
      <c r="I218" s="138">
        <v>57.7</v>
      </c>
      <c r="J218" s="138">
        <v>12.9</v>
      </c>
      <c r="K218" s="138">
        <v>2.9</v>
      </c>
      <c r="L218" s="138">
        <v>2.2000000000000002</v>
      </c>
      <c r="M218" s="138">
        <v>4.12</v>
      </c>
      <c r="N218" s="138">
        <v>0.4</v>
      </c>
      <c r="O218" s="138">
        <v>0</v>
      </c>
      <c r="P218" s="138">
        <v>0</v>
      </c>
      <c r="Q218" s="138">
        <v>0</v>
      </c>
      <c r="R218" s="149">
        <v>0</v>
      </c>
      <c r="S218" s="57">
        <v>0</v>
      </c>
      <c r="T218" s="139"/>
      <c r="U218" s="138">
        <v>1.304</v>
      </c>
      <c r="V218" s="138">
        <v>1.304</v>
      </c>
      <c r="W218" s="54"/>
    </row>
    <row r="219" spans="1:23" ht="25.5" x14ac:dyDescent="0.2">
      <c r="A219" s="54"/>
      <c r="B219" s="69" t="s">
        <v>24</v>
      </c>
      <c r="C219" s="5" t="s">
        <v>105</v>
      </c>
      <c r="D219" s="3">
        <v>30</v>
      </c>
      <c r="E219" s="3">
        <v>30</v>
      </c>
      <c r="F219" s="69">
        <v>1.54</v>
      </c>
      <c r="G219" s="69">
        <v>0.6</v>
      </c>
      <c r="H219" s="69">
        <v>9.9600000000000009</v>
      </c>
      <c r="I219" s="69">
        <v>52.4</v>
      </c>
      <c r="J219" s="85">
        <v>25.4</v>
      </c>
      <c r="K219" s="69">
        <v>5.2</v>
      </c>
      <c r="L219" s="69">
        <v>7</v>
      </c>
      <c r="M219" s="85">
        <v>16.600000000000001</v>
      </c>
      <c r="N219" s="69">
        <v>0.32</v>
      </c>
      <c r="O219" s="69">
        <v>0</v>
      </c>
      <c r="P219" s="69">
        <v>3.2000000000000001E-2</v>
      </c>
      <c r="Q219" s="69">
        <v>1.6E-2</v>
      </c>
      <c r="R219" s="69">
        <v>0.308</v>
      </c>
      <c r="S219" s="69">
        <v>0</v>
      </c>
      <c r="T219" s="3">
        <v>29.29</v>
      </c>
      <c r="U219" s="32">
        <v>0.58584000000000003</v>
      </c>
      <c r="V219" s="32">
        <v>0.58584000000000003</v>
      </c>
      <c r="W219" s="54"/>
    </row>
    <row r="220" spans="1:23" x14ac:dyDescent="0.2">
      <c r="A220" s="54"/>
      <c r="B220" s="69"/>
      <c r="C220" s="3" t="s">
        <v>164</v>
      </c>
      <c r="D220" s="197"/>
      <c r="E220" s="198"/>
      <c r="F220" s="4">
        <v>30.7408</v>
      </c>
      <c r="G220" s="4">
        <v>29.9346</v>
      </c>
      <c r="H220" s="4">
        <v>82.557100000000005</v>
      </c>
      <c r="I220" s="4">
        <v>699.10580000000004</v>
      </c>
      <c r="J220" s="11">
        <v>2155.17</v>
      </c>
      <c r="K220" s="4">
        <v>181.37</v>
      </c>
      <c r="L220" s="4">
        <v>225.82300000000001</v>
      </c>
      <c r="M220" s="11">
        <v>651.62760000000003</v>
      </c>
      <c r="N220" s="4">
        <v>5.8186999999999998</v>
      </c>
      <c r="O220" s="4">
        <v>2.9773999999999998</v>
      </c>
      <c r="P220" s="4">
        <v>0.65668000000000004</v>
      </c>
      <c r="Q220" s="4">
        <v>0.46314</v>
      </c>
      <c r="R220" s="51">
        <v>6.1501000000000001</v>
      </c>
      <c r="S220" s="4">
        <v>41.7408</v>
      </c>
      <c r="T220" s="69"/>
      <c r="U220" s="32">
        <v>28.36</v>
      </c>
      <c r="V220" s="32">
        <v>28.36</v>
      </c>
      <c r="W220" s="54"/>
    </row>
    <row r="221" spans="1:23" x14ac:dyDescent="0.2">
      <c r="A221" s="54"/>
      <c r="B221" s="69"/>
      <c r="C221" s="196" t="s">
        <v>63</v>
      </c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70"/>
      <c r="S221" s="69"/>
      <c r="T221" s="69"/>
      <c r="U221" s="96"/>
      <c r="V221" s="84"/>
      <c r="W221" s="54"/>
    </row>
    <row r="222" spans="1:23" x14ac:dyDescent="0.2">
      <c r="A222" s="54"/>
      <c r="B222" s="69"/>
      <c r="C222" s="196" t="s">
        <v>163</v>
      </c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70"/>
      <c r="S222" s="69"/>
      <c r="T222" s="69"/>
      <c r="U222" s="96"/>
      <c r="V222" s="84"/>
      <c r="W222" s="54"/>
    </row>
    <row r="223" spans="1:23" x14ac:dyDescent="0.2">
      <c r="B223" s="69" t="s">
        <v>51</v>
      </c>
      <c r="C223" s="3" t="s">
        <v>52</v>
      </c>
      <c r="D223" s="313">
        <v>225</v>
      </c>
      <c r="E223" s="314"/>
      <c r="F223" s="3"/>
      <c r="G223" s="3"/>
      <c r="H223" s="3"/>
      <c r="I223" s="3"/>
      <c r="J223" s="3"/>
      <c r="K223" s="7"/>
      <c r="L223" s="3"/>
      <c r="M223" s="3"/>
      <c r="N223" s="3"/>
      <c r="O223" s="3"/>
      <c r="P223" s="3"/>
      <c r="Q223" s="3"/>
      <c r="R223" s="50"/>
      <c r="S223" s="3"/>
      <c r="T223" s="3"/>
      <c r="U223" s="32"/>
      <c r="V223" s="21"/>
    </row>
    <row r="224" spans="1:23" x14ac:dyDescent="0.2">
      <c r="B224" s="69"/>
      <c r="C224" s="69" t="s">
        <v>44</v>
      </c>
      <c r="D224" s="159">
        <v>144</v>
      </c>
      <c r="E224" s="159">
        <v>107</v>
      </c>
      <c r="F224" s="69">
        <v>18.7</v>
      </c>
      <c r="G224" s="69">
        <v>16.100000000000001</v>
      </c>
      <c r="H224" s="69">
        <v>0</v>
      </c>
      <c r="I224" s="69">
        <v>220</v>
      </c>
      <c r="J224" s="69">
        <v>236</v>
      </c>
      <c r="K224" s="85">
        <v>14</v>
      </c>
      <c r="L224" s="69">
        <v>19</v>
      </c>
      <c r="M224" s="69">
        <v>160</v>
      </c>
      <c r="N224" s="69">
        <v>1.3</v>
      </c>
      <c r="O224" s="69">
        <v>0.04</v>
      </c>
      <c r="P224" s="69">
        <v>0.09</v>
      </c>
      <c r="Q224" s="69">
        <v>0.15</v>
      </c>
      <c r="R224" s="70">
        <v>6.1</v>
      </c>
      <c r="S224" s="69">
        <v>2</v>
      </c>
      <c r="T224" s="69"/>
      <c r="U224" s="96">
        <v>141.57</v>
      </c>
      <c r="V224" s="84">
        <f t="shared" ref="V224:V230" si="21">D224*U224/1000</f>
        <v>20.38608</v>
      </c>
    </row>
    <row r="225" spans="1:22" ht="25.5" x14ac:dyDescent="0.2">
      <c r="B225" s="69"/>
      <c r="C225" s="65" t="s">
        <v>34</v>
      </c>
      <c r="D225" s="159">
        <v>9.8000000000000007</v>
      </c>
      <c r="E225" s="159">
        <v>9.8000000000000007</v>
      </c>
      <c r="F225" s="69">
        <v>0</v>
      </c>
      <c r="G225" s="69">
        <v>10.5</v>
      </c>
      <c r="H225" s="69">
        <v>0</v>
      </c>
      <c r="I225" s="69">
        <v>94.4</v>
      </c>
      <c r="J225" s="69">
        <v>0</v>
      </c>
      <c r="K225" s="69">
        <v>0</v>
      </c>
      <c r="L225" s="69">
        <v>0</v>
      </c>
      <c r="M225" s="69">
        <v>0</v>
      </c>
      <c r="N225" s="69">
        <v>0</v>
      </c>
      <c r="O225" s="69">
        <v>0</v>
      </c>
      <c r="P225" s="69">
        <v>0</v>
      </c>
      <c r="Q225" s="69">
        <v>0</v>
      </c>
      <c r="R225" s="70">
        <v>0</v>
      </c>
      <c r="S225" s="69">
        <v>0</v>
      </c>
      <c r="T225" s="69"/>
      <c r="U225" s="96">
        <v>83.43</v>
      </c>
      <c r="V225" s="84">
        <f t="shared" si="21"/>
        <v>0.81761400000000017</v>
      </c>
    </row>
    <row r="226" spans="1:22" x14ac:dyDescent="0.2">
      <c r="B226" s="69"/>
      <c r="C226" s="69" t="s">
        <v>32</v>
      </c>
      <c r="D226" s="159">
        <v>14</v>
      </c>
      <c r="E226" s="159">
        <v>11.2</v>
      </c>
      <c r="F226" s="69">
        <v>0.16</v>
      </c>
      <c r="G226" s="69">
        <v>0</v>
      </c>
      <c r="H226" s="69">
        <v>0.83</v>
      </c>
      <c r="I226" s="69">
        <v>4.2</v>
      </c>
      <c r="J226" s="69">
        <v>24</v>
      </c>
      <c r="K226" s="69">
        <v>3.2</v>
      </c>
      <c r="L226" s="69">
        <v>4.5599999999999996</v>
      </c>
      <c r="M226" s="69">
        <v>6.6</v>
      </c>
      <c r="N226" s="69">
        <v>0.08</v>
      </c>
      <c r="O226" s="69">
        <v>0</v>
      </c>
      <c r="P226" s="69">
        <v>0</v>
      </c>
      <c r="Q226" s="69">
        <v>0</v>
      </c>
      <c r="R226" s="70">
        <v>0.12</v>
      </c>
      <c r="S226" s="69">
        <v>0.6</v>
      </c>
      <c r="T226" s="69"/>
      <c r="U226" s="96">
        <v>32.71</v>
      </c>
      <c r="V226" s="84">
        <f t="shared" si="21"/>
        <v>0.45794000000000001</v>
      </c>
    </row>
    <row r="227" spans="1:22" x14ac:dyDescent="0.2">
      <c r="B227" s="69"/>
      <c r="C227" s="69" t="s">
        <v>36</v>
      </c>
      <c r="D227" s="159">
        <v>3</v>
      </c>
      <c r="E227" s="159">
        <v>3</v>
      </c>
      <c r="F227" s="69">
        <v>0.17</v>
      </c>
      <c r="G227" s="69">
        <v>0</v>
      </c>
      <c r="H227" s="85">
        <v>0.8</v>
      </c>
      <c r="I227" s="85">
        <v>3.7</v>
      </c>
      <c r="J227" s="69">
        <v>31.5</v>
      </c>
      <c r="K227" s="69">
        <v>0.72</v>
      </c>
      <c r="L227" s="69">
        <v>1.8</v>
      </c>
      <c r="M227" s="69">
        <v>2.4</v>
      </c>
      <c r="N227" s="69">
        <v>0</v>
      </c>
      <c r="O227" s="69">
        <v>0</v>
      </c>
      <c r="P227" s="69">
        <v>0</v>
      </c>
      <c r="Q227" s="69">
        <v>0</v>
      </c>
      <c r="R227" s="70">
        <v>0</v>
      </c>
      <c r="S227" s="69">
        <v>1.6</v>
      </c>
      <c r="T227" s="69"/>
      <c r="U227" s="96">
        <v>120</v>
      </c>
      <c r="V227" s="84">
        <f t="shared" si="21"/>
        <v>0.36</v>
      </c>
    </row>
    <row r="228" spans="1:22" x14ac:dyDescent="0.2">
      <c r="B228" s="69"/>
      <c r="C228" s="69" t="s">
        <v>33</v>
      </c>
      <c r="D228" s="159">
        <v>12</v>
      </c>
      <c r="E228" s="159">
        <v>9.8000000000000007</v>
      </c>
      <c r="F228" s="69">
        <v>0.15</v>
      </c>
      <c r="G228" s="69">
        <v>0</v>
      </c>
      <c r="H228" s="69">
        <v>0.85</v>
      </c>
      <c r="I228" s="69">
        <v>4.2</v>
      </c>
      <c r="J228" s="69">
        <v>17.600000000000001</v>
      </c>
      <c r="K228" s="69">
        <v>3.1</v>
      </c>
      <c r="L228" s="69">
        <v>1.4</v>
      </c>
      <c r="M228" s="69">
        <v>5.8</v>
      </c>
      <c r="N228" s="69">
        <v>0</v>
      </c>
      <c r="O228" s="69">
        <v>0</v>
      </c>
      <c r="P228" s="69">
        <v>0</v>
      </c>
      <c r="Q228" s="69">
        <v>0</v>
      </c>
      <c r="R228" s="70">
        <v>0.02</v>
      </c>
      <c r="S228" s="69">
        <v>1</v>
      </c>
      <c r="T228" s="69"/>
      <c r="U228" s="96">
        <v>29.62</v>
      </c>
      <c r="V228" s="84">
        <f t="shared" si="21"/>
        <v>0.35543999999999998</v>
      </c>
    </row>
    <row r="229" spans="1:22" x14ac:dyDescent="0.2">
      <c r="B229" s="69"/>
      <c r="C229" s="69" t="s">
        <v>49</v>
      </c>
      <c r="D229" s="159">
        <v>49</v>
      </c>
      <c r="E229" s="159">
        <v>49</v>
      </c>
      <c r="F229" s="69">
        <v>3.68</v>
      </c>
      <c r="G229" s="69">
        <v>0.53</v>
      </c>
      <c r="H229" s="69">
        <v>37.5</v>
      </c>
      <c r="I229" s="69">
        <v>173.25</v>
      </c>
      <c r="J229" s="69">
        <v>28.35</v>
      </c>
      <c r="K229" s="85">
        <v>12.6</v>
      </c>
      <c r="L229" s="69">
        <v>11</v>
      </c>
      <c r="M229" s="69">
        <v>50.93</v>
      </c>
      <c r="N229" s="69">
        <v>0.85</v>
      </c>
      <c r="O229" s="69">
        <v>0</v>
      </c>
      <c r="P229" s="69">
        <v>0.04</v>
      </c>
      <c r="Q229" s="69">
        <v>0.02</v>
      </c>
      <c r="R229" s="70">
        <v>0.84</v>
      </c>
      <c r="S229" s="69">
        <v>0</v>
      </c>
      <c r="T229" s="69"/>
      <c r="U229" s="96">
        <v>56.43</v>
      </c>
      <c r="V229" s="84">
        <f t="shared" si="21"/>
        <v>2.7650700000000001</v>
      </c>
    </row>
    <row r="230" spans="1:22" x14ac:dyDescent="0.2">
      <c r="B230" s="69"/>
      <c r="C230" s="69" t="s">
        <v>46</v>
      </c>
      <c r="D230" s="159">
        <v>2</v>
      </c>
      <c r="E230" s="159">
        <v>2</v>
      </c>
      <c r="F230" s="69">
        <v>0</v>
      </c>
      <c r="G230" s="69">
        <v>0</v>
      </c>
      <c r="H230" s="69">
        <v>0</v>
      </c>
      <c r="I230" s="69">
        <v>0</v>
      </c>
      <c r="J230" s="69">
        <v>0</v>
      </c>
      <c r="K230" s="69">
        <v>0</v>
      </c>
      <c r="L230" s="69">
        <v>0</v>
      </c>
      <c r="M230" s="69">
        <v>0</v>
      </c>
      <c r="N230" s="69">
        <v>0</v>
      </c>
      <c r="O230" s="69">
        <v>0</v>
      </c>
      <c r="P230" s="69">
        <v>0</v>
      </c>
      <c r="Q230" s="69">
        <v>0</v>
      </c>
      <c r="R230" s="70">
        <v>0</v>
      </c>
      <c r="S230" s="69">
        <v>0</v>
      </c>
      <c r="T230" s="69"/>
      <c r="U230" s="96">
        <v>11.63</v>
      </c>
      <c r="V230" s="84">
        <f t="shared" si="21"/>
        <v>2.3260000000000003E-2</v>
      </c>
    </row>
    <row r="231" spans="1:22" x14ac:dyDescent="0.2">
      <c r="A231" s="26"/>
      <c r="B231" s="69"/>
      <c r="C231" s="39" t="s">
        <v>47</v>
      </c>
      <c r="D231" s="3"/>
      <c r="E231" s="3"/>
      <c r="F231" s="3">
        <f>SUM(F224:F230)</f>
        <v>22.86</v>
      </c>
      <c r="G231" s="3">
        <f t="shared" ref="G231:S231" si="22">SUM(G224:G230)</f>
        <v>27.130000000000003</v>
      </c>
      <c r="H231" s="3">
        <f t="shared" si="22"/>
        <v>39.979999999999997</v>
      </c>
      <c r="I231" s="3">
        <f t="shared" si="22"/>
        <v>499.74999999999994</v>
      </c>
      <c r="J231" s="3">
        <f t="shared" si="22"/>
        <v>337.45000000000005</v>
      </c>
      <c r="K231" s="3">
        <f t="shared" si="22"/>
        <v>33.619999999999997</v>
      </c>
      <c r="L231" s="3">
        <f t="shared" si="22"/>
        <v>37.76</v>
      </c>
      <c r="M231" s="3">
        <f t="shared" si="22"/>
        <v>225.73000000000002</v>
      </c>
      <c r="N231" s="3">
        <f t="shared" si="22"/>
        <v>2.23</v>
      </c>
      <c r="O231" s="3">
        <f t="shared" si="22"/>
        <v>0.04</v>
      </c>
      <c r="P231" s="3">
        <f t="shared" si="22"/>
        <v>0.13</v>
      </c>
      <c r="Q231" s="3">
        <f t="shared" si="22"/>
        <v>0.16999999999999998</v>
      </c>
      <c r="R231" s="50">
        <f t="shared" si="22"/>
        <v>7.0799999999999992</v>
      </c>
      <c r="S231" s="3">
        <f t="shared" si="22"/>
        <v>5.2</v>
      </c>
      <c r="T231" s="69"/>
      <c r="U231" s="96"/>
      <c r="V231" s="21">
        <f>SUM(V224:V230)</f>
        <v>25.165404000000002</v>
      </c>
    </row>
    <row r="232" spans="1:22" x14ac:dyDescent="0.2">
      <c r="A232" s="26"/>
      <c r="B232" s="69" t="s">
        <v>73</v>
      </c>
      <c r="C232" s="19" t="s">
        <v>74</v>
      </c>
      <c r="D232" s="313" t="s">
        <v>75</v>
      </c>
      <c r="E232" s="316"/>
      <c r="F232" s="131"/>
      <c r="G232" s="131"/>
      <c r="H232" s="131"/>
      <c r="I232" s="131"/>
      <c r="J232" s="133"/>
      <c r="K232" s="131"/>
      <c r="L232" s="131"/>
      <c r="M232" s="133"/>
      <c r="N232" s="131"/>
      <c r="O232" s="131"/>
      <c r="P232" s="131"/>
      <c r="Q232" s="131"/>
      <c r="R232" s="134"/>
      <c r="S232" s="4"/>
      <c r="T232" s="168"/>
      <c r="U232" s="84"/>
      <c r="V232" s="84"/>
    </row>
    <row r="233" spans="1:22" x14ac:dyDescent="0.2">
      <c r="A233" s="26"/>
      <c r="B233" s="144"/>
      <c r="C233" s="155" t="s">
        <v>40</v>
      </c>
      <c r="D233" s="178">
        <v>50</v>
      </c>
      <c r="E233" s="178">
        <v>50</v>
      </c>
      <c r="F233" s="157">
        <v>0.1</v>
      </c>
      <c r="G233" s="157">
        <v>0</v>
      </c>
      <c r="H233" s="157">
        <v>0</v>
      </c>
      <c r="I233" s="157">
        <v>0.8</v>
      </c>
      <c r="J233" s="158">
        <v>12.4</v>
      </c>
      <c r="K233" s="157">
        <v>2.5</v>
      </c>
      <c r="L233" s="157">
        <v>2.2000000000000002</v>
      </c>
      <c r="M233" s="158">
        <v>4.0999999999999996</v>
      </c>
      <c r="N233" s="157">
        <v>0.4</v>
      </c>
      <c r="O233" s="157">
        <v>0</v>
      </c>
      <c r="P233" s="157">
        <v>0</v>
      </c>
      <c r="Q233" s="157">
        <v>0</v>
      </c>
      <c r="R233" s="179">
        <v>0</v>
      </c>
      <c r="S233" s="144">
        <v>0</v>
      </c>
      <c r="T233" s="176">
        <v>539.16999999999996</v>
      </c>
      <c r="U233" s="157">
        <v>0.53900000000000003</v>
      </c>
      <c r="V233" s="157">
        <v>0.53900000000000003</v>
      </c>
    </row>
    <row r="234" spans="1:22" x14ac:dyDescent="0.2">
      <c r="A234" s="26"/>
      <c r="B234" s="144"/>
      <c r="C234" s="155" t="s">
        <v>30</v>
      </c>
      <c r="D234" s="178">
        <v>15</v>
      </c>
      <c r="E234" s="178">
        <v>15</v>
      </c>
      <c r="F234" s="157">
        <v>0</v>
      </c>
      <c r="G234" s="157">
        <v>0</v>
      </c>
      <c r="H234" s="157">
        <v>15</v>
      </c>
      <c r="I234" s="157">
        <v>56.9</v>
      </c>
      <c r="J234" s="158">
        <v>0.5</v>
      </c>
      <c r="K234" s="157">
        <v>0.4</v>
      </c>
      <c r="L234" s="157">
        <v>0</v>
      </c>
      <c r="M234" s="158">
        <v>0</v>
      </c>
      <c r="N234" s="157">
        <v>0</v>
      </c>
      <c r="O234" s="157">
        <v>0</v>
      </c>
      <c r="P234" s="157">
        <v>0</v>
      </c>
      <c r="Q234" s="157">
        <v>0</v>
      </c>
      <c r="R234" s="179">
        <v>0</v>
      </c>
      <c r="S234" s="144">
        <v>0</v>
      </c>
      <c r="T234" s="176">
        <v>50.97</v>
      </c>
      <c r="U234" s="157">
        <v>0.76500000000000001</v>
      </c>
      <c r="V234" s="157">
        <v>0.76500000000000001</v>
      </c>
    </row>
    <row r="235" spans="1:22" x14ac:dyDescent="0.2">
      <c r="A235" s="26"/>
      <c r="B235" s="144"/>
      <c r="C235" s="155" t="s">
        <v>35</v>
      </c>
      <c r="D235" s="178">
        <v>150</v>
      </c>
      <c r="E235" s="178">
        <v>150</v>
      </c>
      <c r="F235" s="157">
        <v>0</v>
      </c>
      <c r="G235" s="157">
        <v>0</v>
      </c>
      <c r="H235" s="157">
        <v>0</v>
      </c>
      <c r="I235" s="157">
        <v>0</v>
      </c>
      <c r="J235" s="157">
        <v>0</v>
      </c>
      <c r="K235" s="157">
        <v>0</v>
      </c>
      <c r="L235" s="157">
        <v>0</v>
      </c>
      <c r="M235" s="157">
        <v>0</v>
      </c>
      <c r="N235" s="157">
        <v>0</v>
      </c>
      <c r="O235" s="157">
        <v>0</v>
      </c>
      <c r="P235" s="157">
        <v>0</v>
      </c>
      <c r="Q235" s="157">
        <v>0</v>
      </c>
      <c r="R235" s="179">
        <v>0</v>
      </c>
      <c r="S235" s="144">
        <v>0</v>
      </c>
      <c r="T235" s="176">
        <v>0</v>
      </c>
      <c r="U235" s="157">
        <v>0</v>
      </c>
      <c r="V235" s="157">
        <v>0</v>
      </c>
    </row>
    <row r="236" spans="1:22" x14ac:dyDescent="0.2">
      <c r="A236" s="26"/>
      <c r="B236" s="144"/>
      <c r="C236" s="163" t="s">
        <v>47</v>
      </c>
      <c r="D236" s="138"/>
      <c r="E236" s="138"/>
      <c r="F236" s="138">
        <v>0.1</v>
      </c>
      <c r="G236" s="138">
        <v>0</v>
      </c>
      <c r="H236" s="138">
        <v>15</v>
      </c>
      <c r="I236" s="138">
        <v>57.7</v>
      </c>
      <c r="J236" s="138">
        <v>12.9</v>
      </c>
      <c r="K236" s="138">
        <v>2.9</v>
      </c>
      <c r="L236" s="138">
        <v>2.2000000000000002</v>
      </c>
      <c r="M236" s="138">
        <v>4.12</v>
      </c>
      <c r="N236" s="138">
        <v>0.4</v>
      </c>
      <c r="O236" s="138">
        <v>0</v>
      </c>
      <c r="P236" s="138">
        <v>0</v>
      </c>
      <c r="Q236" s="138">
        <v>0</v>
      </c>
      <c r="R236" s="149">
        <v>0</v>
      </c>
      <c r="S236" s="57">
        <v>0</v>
      </c>
      <c r="T236" s="139"/>
      <c r="U236" s="138">
        <v>1.304</v>
      </c>
      <c r="V236" s="138">
        <v>1.304</v>
      </c>
    </row>
    <row r="237" spans="1:22" x14ac:dyDescent="0.2">
      <c r="A237" s="26"/>
      <c r="B237" s="69" t="s">
        <v>24</v>
      </c>
      <c r="C237" s="3" t="s">
        <v>105</v>
      </c>
      <c r="D237" s="3">
        <v>30</v>
      </c>
      <c r="E237" s="21">
        <v>30</v>
      </c>
      <c r="F237" s="3">
        <v>1.54</v>
      </c>
      <c r="G237" s="3">
        <v>0.6</v>
      </c>
      <c r="H237" s="3">
        <v>9.9600000000000009</v>
      </c>
      <c r="I237" s="3">
        <v>52.4</v>
      </c>
      <c r="J237" s="3">
        <v>25.4</v>
      </c>
      <c r="K237" s="3">
        <v>5.2</v>
      </c>
      <c r="L237" s="3">
        <v>7</v>
      </c>
      <c r="M237" s="3">
        <v>16.600000000000001</v>
      </c>
      <c r="N237" s="3">
        <v>0.32</v>
      </c>
      <c r="O237" s="3">
        <v>0</v>
      </c>
      <c r="P237" s="3">
        <v>3.2000000000000001E-2</v>
      </c>
      <c r="Q237" s="3">
        <v>1.6E-2</v>
      </c>
      <c r="R237" s="50">
        <v>0.308</v>
      </c>
      <c r="S237" s="3">
        <v>0</v>
      </c>
      <c r="T237" s="3">
        <v>29.29</v>
      </c>
      <c r="U237" s="32">
        <v>0.58584000000000003</v>
      </c>
      <c r="V237" s="32">
        <v>0.58584000000000003</v>
      </c>
    </row>
    <row r="238" spans="1:22" x14ac:dyDescent="0.2">
      <c r="A238" s="26"/>
      <c r="B238" s="69"/>
      <c r="C238" s="3" t="s">
        <v>164</v>
      </c>
      <c r="D238" s="69"/>
      <c r="E238" s="69"/>
      <c r="F238" s="69">
        <v>30.944849999999999</v>
      </c>
      <c r="G238" s="69">
        <v>30.7454</v>
      </c>
      <c r="H238" s="69">
        <v>111.6503</v>
      </c>
      <c r="I238" s="69">
        <v>774.44399999999996</v>
      </c>
      <c r="J238" s="69">
        <v>578.322</v>
      </c>
      <c r="K238" s="69">
        <v>78.557000000000002</v>
      </c>
      <c r="L238" s="69">
        <v>87.147000000000006</v>
      </c>
      <c r="M238" s="69">
        <v>221.18950000000001</v>
      </c>
      <c r="N238" s="69">
        <v>10.61295</v>
      </c>
      <c r="O238" s="69">
        <v>6.0689299999999999</v>
      </c>
      <c r="P238" s="69">
        <v>6.3124349999999998</v>
      </c>
      <c r="Q238" s="69">
        <v>6.2156500000000001</v>
      </c>
      <c r="R238" s="70">
        <v>12.089169999999999</v>
      </c>
      <c r="S238" s="69">
        <v>24.803999999999998</v>
      </c>
      <c r="T238" s="69"/>
      <c r="U238" s="96">
        <v>23.9</v>
      </c>
      <c r="V238" s="96">
        <v>23.9</v>
      </c>
    </row>
    <row r="239" spans="1:22" x14ac:dyDescent="0.2">
      <c r="A239" s="26"/>
      <c r="B239" s="69"/>
      <c r="C239" s="196" t="s">
        <v>64</v>
      </c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70"/>
      <c r="S239" s="69"/>
      <c r="T239" s="69"/>
      <c r="U239" s="96"/>
      <c r="V239" s="84"/>
    </row>
    <row r="240" spans="1:22" x14ac:dyDescent="0.2">
      <c r="A240" s="26"/>
      <c r="B240" s="69"/>
      <c r="C240" s="196" t="s">
        <v>163</v>
      </c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70"/>
      <c r="S240" s="69"/>
      <c r="T240" s="69"/>
      <c r="U240" s="96"/>
      <c r="V240" s="84"/>
    </row>
    <row r="241" spans="1:22" x14ac:dyDescent="0.2">
      <c r="A241" s="26"/>
      <c r="B241" s="3" t="s">
        <v>115</v>
      </c>
      <c r="C241" s="145" t="s">
        <v>116</v>
      </c>
      <c r="D241" s="313" t="s">
        <v>117</v>
      </c>
      <c r="E241" s="314"/>
      <c r="F241" s="131"/>
      <c r="G241" s="131"/>
      <c r="H241" s="131"/>
      <c r="I241" s="131"/>
      <c r="J241" s="132"/>
      <c r="K241" s="131"/>
      <c r="L241" s="131"/>
      <c r="M241" s="132"/>
      <c r="N241" s="131"/>
      <c r="O241" s="131"/>
      <c r="P241" s="131"/>
      <c r="Q241" s="131"/>
      <c r="R241" s="131"/>
      <c r="S241" s="131"/>
      <c r="T241" s="69"/>
      <c r="U241" s="96"/>
      <c r="V241" s="84"/>
    </row>
    <row r="242" spans="1:22" x14ac:dyDescent="0.2">
      <c r="B242" s="57"/>
      <c r="C242" s="181" t="s">
        <v>44</v>
      </c>
      <c r="D242" s="178">
        <v>153.6</v>
      </c>
      <c r="E242" s="178">
        <v>108.8</v>
      </c>
      <c r="F242" s="157">
        <v>25.4</v>
      </c>
      <c r="G242" s="157">
        <v>21.9</v>
      </c>
      <c r="H242" s="157">
        <v>0</v>
      </c>
      <c r="I242" s="157">
        <v>299.2</v>
      </c>
      <c r="J242" s="175">
        <v>326</v>
      </c>
      <c r="K242" s="157">
        <v>27.2</v>
      </c>
      <c r="L242" s="157">
        <v>43.5</v>
      </c>
      <c r="M242" s="158">
        <v>405</v>
      </c>
      <c r="N242" s="157">
        <v>4.0999999999999996</v>
      </c>
      <c r="O242" s="157">
        <v>0.09</v>
      </c>
      <c r="P242" s="157">
        <v>0.09</v>
      </c>
      <c r="Q242" s="157">
        <v>0.19</v>
      </c>
      <c r="R242" s="157">
        <v>4.9000000000000004</v>
      </c>
      <c r="S242" s="157">
        <v>0</v>
      </c>
      <c r="T242" s="69"/>
      <c r="U242" s="157">
        <v>0</v>
      </c>
      <c r="V242" s="157">
        <v>0</v>
      </c>
    </row>
    <row r="243" spans="1:22" x14ac:dyDescent="0.2">
      <c r="B243" s="57"/>
      <c r="C243" s="182" t="s">
        <v>34</v>
      </c>
      <c r="D243" s="178">
        <v>8</v>
      </c>
      <c r="E243" s="178">
        <v>8</v>
      </c>
      <c r="F243" s="157">
        <v>0</v>
      </c>
      <c r="G243" s="157">
        <v>12</v>
      </c>
      <c r="H243" s="157">
        <v>0</v>
      </c>
      <c r="I243" s="157">
        <v>108</v>
      </c>
      <c r="J243" s="175">
        <v>0</v>
      </c>
      <c r="K243" s="157">
        <v>0</v>
      </c>
      <c r="L243" s="157">
        <v>0</v>
      </c>
      <c r="M243" s="158">
        <v>0</v>
      </c>
      <c r="N243" s="157">
        <v>0</v>
      </c>
      <c r="O243" s="157">
        <v>0</v>
      </c>
      <c r="P243" s="157">
        <v>0</v>
      </c>
      <c r="Q243" s="157">
        <v>0</v>
      </c>
      <c r="R243" s="157">
        <v>0</v>
      </c>
      <c r="S243" s="157">
        <v>0</v>
      </c>
      <c r="T243" s="69"/>
      <c r="U243" s="157">
        <v>0</v>
      </c>
      <c r="V243" s="157">
        <v>0</v>
      </c>
    </row>
    <row r="244" spans="1:22" x14ac:dyDescent="0.2">
      <c r="B244" s="57"/>
      <c r="C244" s="181" t="s">
        <v>31</v>
      </c>
      <c r="D244" s="178">
        <v>128.4</v>
      </c>
      <c r="E244" s="178">
        <v>96</v>
      </c>
      <c r="F244" s="157">
        <v>3.2</v>
      </c>
      <c r="G244" s="157">
        <v>0.6</v>
      </c>
      <c r="H244" s="157">
        <v>26.2</v>
      </c>
      <c r="I244" s="157">
        <v>123.2</v>
      </c>
      <c r="J244" s="175">
        <v>909</v>
      </c>
      <c r="K244" s="157">
        <v>16</v>
      </c>
      <c r="L244" s="157">
        <v>36.799999999999997</v>
      </c>
      <c r="M244" s="158">
        <v>92.8</v>
      </c>
      <c r="N244" s="157">
        <v>1.44</v>
      </c>
      <c r="O244" s="157">
        <v>0.03</v>
      </c>
      <c r="P244" s="157">
        <v>0.19</v>
      </c>
      <c r="Q244" s="157">
        <v>0.08</v>
      </c>
      <c r="R244" s="157">
        <v>1.44</v>
      </c>
      <c r="S244" s="157">
        <v>32</v>
      </c>
      <c r="T244" s="69"/>
      <c r="U244" s="157">
        <v>32</v>
      </c>
      <c r="V244" s="157">
        <v>32</v>
      </c>
    </row>
    <row r="245" spans="1:22" x14ac:dyDescent="0.2">
      <c r="B245" s="57"/>
      <c r="C245" s="181" t="s">
        <v>32</v>
      </c>
      <c r="D245" s="178">
        <v>25</v>
      </c>
      <c r="E245" s="178">
        <v>20.399999999999999</v>
      </c>
      <c r="F245" s="157">
        <v>0.4</v>
      </c>
      <c r="G245" s="157">
        <v>0</v>
      </c>
      <c r="H245" s="157">
        <v>2.2999999999999998</v>
      </c>
      <c r="I245" s="157">
        <v>11.9</v>
      </c>
      <c r="J245" s="175">
        <v>68</v>
      </c>
      <c r="K245" s="157">
        <v>17.3</v>
      </c>
      <c r="L245" s="157">
        <v>13</v>
      </c>
      <c r="M245" s="158">
        <v>18.7</v>
      </c>
      <c r="N245" s="157">
        <v>0.4</v>
      </c>
      <c r="O245" s="157">
        <v>3.1</v>
      </c>
      <c r="P245" s="157">
        <v>0.02</v>
      </c>
      <c r="Q245" s="157">
        <v>0.02</v>
      </c>
      <c r="R245" s="157">
        <v>0.34</v>
      </c>
      <c r="S245" s="157">
        <v>1.7</v>
      </c>
      <c r="T245" s="69"/>
      <c r="U245" s="157">
        <v>1.7</v>
      </c>
      <c r="V245" s="157">
        <v>1.7</v>
      </c>
    </row>
    <row r="246" spans="1:22" x14ac:dyDescent="0.2">
      <c r="B246" s="57"/>
      <c r="C246" s="181" t="s">
        <v>36</v>
      </c>
      <c r="D246" s="178">
        <v>3</v>
      </c>
      <c r="E246" s="178">
        <v>3</v>
      </c>
      <c r="F246" s="157">
        <v>0.2</v>
      </c>
      <c r="G246" s="157">
        <v>0</v>
      </c>
      <c r="H246" s="157">
        <v>1</v>
      </c>
      <c r="I246" s="157">
        <v>5.0999999999999996</v>
      </c>
      <c r="J246" s="175">
        <v>42</v>
      </c>
      <c r="K246" s="157">
        <v>3.7</v>
      </c>
      <c r="L246" s="157">
        <v>1.4</v>
      </c>
      <c r="M246" s="158">
        <v>3.3</v>
      </c>
      <c r="N246" s="157">
        <v>0.1</v>
      </c>
      <c r="O246" s="157">
        <v>0.1</v>
      </c>
      <c r="P246" s="157">
        <v>0</v>
      </c>
      <c r="Q246" s="157">
        <v>0</v>
      </c>
      <c r="R246" s="157">
        <v>0.04</v>
      </c>
      <c r="S246" s="157">
        <v>2.16</v>
      </c>
      <c r="T246" s="69"/>
      <c r="U246" s="157">
        <v>2.16</v>
      </c>
      <c r="V246" s="157">
        <v>2.16</v>
      </c>
    </row>
    <row r="247" spans="1:22" x14ac:dyDescent="0.2">
      <c r="B247" s="144"/>
      <c r="C247" s="181" t="s">
        <v>33</v>
      </c>
      <c r="D247" s="178">
        <v>14.4</v>
      </c>
      <c r="E247" s="178">
        <v>12</v>
      </c>
      <c r="F247" s="157">
        <v>0.3</v>
      </c>
      <c r="G247" s="157">
        <v>0</v>
      </c>
      <c r="H247" s="157">
        <v>1.6</v>
      </c>
      <c r="I247" s="157">
        <v>8.1999999999999993</v>
      </c>
      <c r="J247" s="175">
        <v>35</v>
      </c>
      <c r="K247" s="157">
        <v>6.2</v>
      </c>
      <c r="L247" s="157">
        <v>2.8</v>
      </c>
      <c r="M247" s="158">
        <v>11.6</v>
      </c>
      <c r="N247" s="157">
        <v>0.16</v>
      </c>
      <c r="O247" s="157">
        <v>0</v>
      </c>
      <c r="P247" s="157">
        <v>0.01</v>
      </c>
      <c r="Q247" s="157">
        <v>0.01</v>
      </c>
      <c r="R247" s="157">
        <v>0.04</v>
      </c>
      <c r="S247" s="157">
        <v>2</v>
      </c>
      <c r="T247" s="69"/>
      <c r="U247" s="157">
        <v>2</v>
      </c>
      <c r="V247" s="157">
        <v>2</v>
      </c>
    </row>
    <row r="248" spans="1:22" x14ac:dyDescent="0.2">
      <c r="B248" s="57"/>
      <c r="C248" s="181" t="s">
        <v>38</v>
      </c>
      <c r="D248" s="178">
        <v>1</v>
      </c>
      <c r="E248" s="178">
        <v>1</v>
      </c>
      <c r="F248" s="157">
        <v>0.2</v>
      </c>
      <c r="G248" s="157">
        <v>0</v>
      </c>
      <c r="H248" s="157">
        <v>1.4</v>
      </c>
      <c r="I248" s="157">
        <v>6.7</v>
      </c>
      <c r="J248" s="175">
        <v>4</v>
      </c>
      <c r="K248" s="157">
        <v>0.5</v>
      </c>
      <c r="L248" s="157">
        <v>0.9</v>
      </c>
      <c r="M248" s="158">
        <v>2.2999999999999998</v>
      </c>
      <c r="N248" s="157">
        <v>0.04</v>
      </c>
      <c r="O248" s="157">
        <v>0</v>
      </c>
      <c r="P248" s="157">
        <v>0</v>
      </c>
      <c r="Q248" s="157">
        <v>0</v>
      </c>
      <c r="R248" s="157">
        <v>0.02</v>
      </c>
      <c r="S248" s="157">
        <v>0</v>
      </c>
      <c r="T248" s="69"/>
      <c r="U248" s="157">
        <v>0</v>
      </c>
      <c r="V248" s="157">
        <v>0</v>
      </c>
    </row>
    <row r="249" spans="1:22" x14ac:dyDescent="0.2">
      <c r="B249" s="57"/>
      <c r="C249" s="181" t="s">
        <v>46</v>
      </c>
      <c r="D249" s="178">
        <v>2</v>
      </c>
      <c r="E249" s="178">
        <v>2</v>
      </c>
      <c r="F249" s="157">
        <v>0</v>
      </c>
      <c r="G249" s="157">
        <v>0</v>
      </c>
      <c r="H249" s="157">
        <v>0</v>
      </c>
      <c r="I249" s="157">
        <v>0</v>
      </c>
      <c r="J249" s="157">
        <v>0</v>
      </c>
      <c r="K249" s="157">
        <v>0</v>
      </c>
      <c r="L249" s="157">
        <v>0</v>
      </c>
      <c r="M249" s="157">
        <v>0</v>
      </c>
      <c r="N249" s="157">
        <v>0</v>
      </c>
      <c r="O249" s="157">
        <v>0</v>
      </c>
      <c r="P249" s="157">
        <v>0</v>
      </c>
      <c r="Q249" s="157">
        <v>0</v>
      </c>
      <c r="R249" s="157">
        <v>0</v>
      </c>
      <c r="S249" s="157">
        <v>0</v>
      </c>
      <c r="T249" s="69"/>
      <c r="U249" s="157">
        <v>0</v>
      </c>
      <c r="V249" s="157">
        <v>0</v>
      </c>
    </row>
    <row r="250" spans="1:22" x14ac:dyDescent="0.2">
      <c r="B250" s="57"/>
      <c r="C250" s="18" t="s">
        <v>47</v>
      </c>
      <c r="D250" s="138"/>
      <c r="E250" s="138"/>
      <c r="F250" s="138">
        <v>29.7</v>
      </c>
      <c r="G250" s="138">
        <v>34.5</v>
      </c>
      <c r="H250" s="138">
        <v>32.5</v>
      </c>
      <c r="I250" s="138">
        <v>562.29999999999995</v>
      </c>
      <c r="J250" s="138">
        <v>1384</v>
      </c>
      <c r="K250" s="138">
        <v>70.900000000000006</v>
      </c>
      <c r="L250" s="138">
        <v>98.4</v>
      </c>
      <c r="M250" s="138">
        <v>533.70000000000005</v>
      </c>
      <c r="N250" s="138">
        <v>6.24</v>
      </c>
      <c r="O250" s="138">
        <v>3.32</v>
      </c>
      <c r="P250" s="138">
        <v>0.31</v>
      </c>
      <c r="Q250" s="138">
        <v>0.3</v>
      </c>
      <c r="R250" s="138">
        <v>6.78</v>
      </c>
      <c r="S250" s="138">
        <v>37.86</v>
      </c>
      <c r="T250" s="69"/>
      <c r="U250" s="138">
        <v>37.86</v>
      </c>
      <c r="V250" s="138">
        <v>37.86</v>
      </c>
    </row>
    <row r="251" spans="1:22" x14ac:dyDescent="0.2">
      <c r="B251" s="69" t="s">
        <v>73</v>
      </c>
      <c r="C251" s="19" t="s">
        <v>74</v>
      </c>
      <c r="D251" s="313" t="s">
        <v>75</v>
      </c>
      <c r="E251" s="316"/>
      <c r="F251" s="131"/>
      <c r="G251" s="131"/>
      <c r="H251" s="131"/>
      <c r="I251" s="131"/>
      <c r="J251" s="133"/>
      <c r="K251" s="131"/>
      <c r="L251" s="131"/>
      <c r="M251" s="133"/>
      <c r="N251" s="131"/>
      <c r="O251" s="131"/>
      <c r="P251" s="131"/>
      <c r="Q251" s="131"/>
      <c r="R251" s="134"/>
      <c r="S251" s="4"/>
      <c r="T251" s="168"/>
      <c r="U251" s="84"/>
      <c r="V251" s="21"/>
    </row>
    <row r="252" spans="1:22" x14ac:dyDescent="0.2">
      <c r="B252" s="144"/>
      <c r="C252" s="155" t="s">
        <v>40</v>
      </c>
      <c r="D252" s="178">
        <v>50</v>
      </c>
      <c r="E252" s="178">
        <v>50</v>
      </c>
      <c r="F252" s="157">
        <v>0.1</v>
      </c>
      <c r="G252" s="157">
        <v>0</v>
      </c>
      <c r="H252" s="157">
        <v>0</v>
      </c>
      <c r="I252" s="157">
        <v>0.8</v>
      </c>
      <c r="J252" s="158">
        <v>12.4</v>
      </c>
      <c r="K252" s="157">
        <v>2.5</v>
      </c>
      <c r="L252" s="157">
        <v>2.2000000000000002</v>
      </c>
      <c r="M252" s="158">
        <v>4.0999999999999996</v>
      </c>
      <c r="N252" s="157">
        <v>0.4</v>
      </c>
      <c r="O252" s="157">
        <v>0</v>
      </c>
      <c r="P252" s="157">
        <v>0</v>
      </c>
      <c r="Q252" s="157">
        <v>0</v>
      </c>
      <c r="R252" s="179">
        <v>0</v>
      </c>
      <c r="S252" s="144">
        <v>0</v>
      </c>
      <c r="T252" s="176">
        <v>539.16999999999996</v>
      </c>
      <c r="U252" s="157">
        <v>0.53900000000000003</v>
      </c>
      <c r="V252" s="157">
        <v>0.53900000000000003</v>
      </c>
    </row>
    <row r="253" spans="1:22" x14ac:dyDescent="0.2">
      <c r="B253" s="144"/>
      <c r="C253" s="155" t="s">
        <v>30</v>
      </c>
      <c r="D253" s="178">
        <v>15</v>
      </c>
      <c r="E253" s="178">
        <v>15</v>
      </c>
      <c r="F253" s="157">
        <v>0</v>
      </c>
      <c r="G253" s="157">
        <v>0</v>
      </c>
      <c r="H253" s="157">
        <v>15</v>
      </c>
      <c r="I253" s="157">
        <v>56.9</v>
      </c>
      <c r="J253" s="158">
        <v>0.5</v>
      </c>
      <c r="K253" s="157">
        <v>0.4</v>
      </c>
      <c r="L253" s="157">
        <v>0</v>
      </c>
      <c r="M253" s="158">
        <v>0</v>
      </c>
      <c r="N253" s="157">
        <v>0</v>
      </c>
      <c r="O253" s="157">
        <v>0</v>
      </c>
      <c r="P253" s="157">
        <v>0</v>
      </c>
      <c r="Q253" s="157">
        <v>0</v>
      </c>
      <c r="R253" s="179">
        <v>0</v>
      </c>
      <c r="S253" s="144">
        <v>0</v>
      </c>
      <c r="T253" s="176">
        <v>50.97</v>
      </c>
      <c r="U253" s="157">
        <v>0.76500000000000001</v>
      </c>
      <c r="V253" s="157">
        <v>0.76500000000000001</v>
      </c>
    </row>
    <row r="254" spans="1:22" x14ac:dyDescent="0.2">
      <c r="B254" s="144"/>
      <c r="C254" s="155" t="s">
        <v>35</v>
      </c>
      <c r="D254" s="178">
        <v>150</v>
      </c>
      <c r="E254" s="178">
        <v>150</v>
      </c>
      <c r="F254" s="157">
        <v>0</v>
      </c>
      <c r="G254" s="157">
        <v>0</v>
      </c>
      <c r="H254" s="157">
        <v>0</v>
      </c>
      <c r="I254" s="157">
        <v>0</v>
      </c>
      <c r="J254" s="157">
        <v>0</v>
      </c>
      <c r="K254" s="157">
        <v>0</v>
      </c>
      <c r="L254" s="157">
        <v>0</v>
      </c>
      <c r="M254" s="157">
        <v>0</v>
      </c>
      <c r="N254" s="157">
        <v>0</v>
      </c>
      <c r="O254" s="157">
        <v>0</v>
      </c>
      <c r="P254" s="157">
        <v>0</v>
      </c>
      <c r="Q254" s="157">
        <v>0</v>
      </c>
      <c r="R254" s="179">
        <v>0</v>
      </c>
      <c r="S254" s="144">
        <v>0</v>
      </c>
      <c r="T254" s="176">
        <v>0</v>
      </c>
      <c r="U254" s="157">
        <v>0</v>
      </c>
      <c r="V254" s="157">
        <v>0</v>
      </c>
    </row>
    <row r="255" spans="1:22" x14ac:dyDescent="0.2">
      <c r="B255" s="144"/>
      <c r="C255" s="163" t="s">
        <v>47</v>
      </c>
      <c r="D255" s="138"/>
      <c r="E255" s="138"/>
      <c r="F255" s="138">
        <v>0.1</v>
      </c>
      <c r="G255" s="138">
        <v>0</v>
      </c>
      <c r="H255" s="138">
        <v>15</v>
      </c>
      <c r="I255" s="138">
        <v>57.7</v>
      </c>
      <c r="J255" s="138">
        <v>12.9</v>
      </c>
      <c r="K255" s="138">
        <v>2.9</v>
      </c>
      <c r="L255" s="138">
        <v>2.2000000000000002</v>
      </c>
      <c r="M255" s="138">
        <v>4.12</v>
      </c>
      <c r="N255" s="138">
        <v>0.4</v>
      </c>
      <c r="O255" s="138">
        <v>0</v>
      </c>
      <c r="P255" s="138">
        <v>0</v>
      </c>
      <c r="Q255" s="138">
        <v>0</v>
      </c>
      <c r="R255" s="149">
        <v>0</v>
      </c>
      <c r="S255" s="57">
        <v>0</v>
      </c>
      <c r="T255" s="139"/>
      <c r="U255" s="138">
        <v>1.304</v>
      </c>
      <c r="V255" s="138">
        <v>1.304</v>
      </c>
    </row>
    <row r="256" spans="1:22" ht="25.5" x14ac:dyDescent="0.2">
      <c r="B256" s="31" t="s">
        <v>24</v>
      </c>
      <c r="C256" s="28" t="s">
        <v>105</v>
      </c>
      <c r="D256" s="31">
        <v>30</v>
      </c>
      <c r="E256" s="29">
        <v>30</v>
      </c>
      <c r="F256" s="29">
        <v>1.54</v>
      </c>
      <c r="G256" s="29">
        <v>0.6</v>
      </c>
      <c r="H256" s="59">
        <v>9.9600000000000009</v>
      </c>
      <c r="I256" s="29">
        <v>52.4</v>
      </c>
      <c r="J256" s="59">
        <v>25.4</v>
      </c>
      <c r="K256" s="49">
        <v>5.2</v>
      </c>
      <c r="L256" s="29">
        <v>7</v>
      </c>
      <c r="M256" s="29">
        <v>16.600000000000001</v>
      </c>
      <c r="N256" s="29">
        <v>0.32</v>
      </c>
      <c r="O256" s="29">
        <v>0</v>
      </c>
      <c r="P256" s="29">
        <v>3.2000000000000001E-2</v>
      </c>
      <c r="Q256" s="29">
        <v>1.6E-2</v>
      </c>
      <c r="R256" s="29">
        <v>0.308</v>
      </c>
      <c r="S256" s="29">
        <v>0</v>
      </c>
      <c r="T256" s="69">
        <v>29.29</v>
      </c>
      <c r="U256" s="96">
        <v>0.58584000000000003</v>
      </c>
      <c r="V256" s="96">
        <v>0.58584000000000003</v>
      </c>
    </row>
    <row r="257" spans="2:22" x14ac:dyDescent="0.2">
      <c r="B257" s="31"/>
      <c r="C257" s="3" t="s">
        <v>164</v>
      </c>
      <c r="D257" s="31"/>
      <c r="E257" s="31"/>
      <c r="F257" s="31">
        <v>33.542149999999999</v>
      </c>
      <c r="G257" s="31">
        <v>30.952400000000001</v>
      </c>
      <c r="H257" s="31">
        <v>90.170900000000003</v>
      </c>
      <c r="I257" s="31">
        <v>790.57799999999997</v>
      </c>
      <c r="J257" s="31">
        <v>654.61</v>
      </c>
      <c r="K257" s="31">
        <v>58.325000000000003</v>
      </c>
      <c r="L257" s="31">
        <v>63.677999999999997</v>
      </c>
      <c r="M257" s="31">
        <v>251.84049999999999</v>
      </c>
      <c r="N257" s="31">
        <v>7.0629499999999998</v>
      </c>
      <c r="O257" s="31">
        <v>9.0690000000000007E-2</v>
      </c>
      <c r="P257" s="31">
        <v>0.44761499999999999</v>
      </c>
      <c r="Q257" s="31">
        <v>0.30335000000000001</v>
      </c>
      <c r="R257" s="31">
        <v>9.1470500000000001</v>
      </c>
      <c r="S257" s="31">
        <v>30.981999999999999</v>
      </c>
      <c r="T257" s="69"/>
      <c r="U257" s="32">
        <v>36.369999999999997</v>
      </c>
      <c r="V257" s="32">
        <v>36.369999999999997</v>
      </c>
    </row>
    <row r="258" spans="2:22" x14ac:dyDescent="0.2">
      <c r="B258" s="169"/>
      <c r="C258" s="3" t="s">
        <v>164</v>
      </c>
      <c r="D258" s="21"/>
      <c r="E258" s="21"/>
      <c r="F258" s="21">
        <v>21.952000000000002</v>
      </c>
      <c r="G258" s="21">
        <v>26.751999999999999</v>
      </c>
      <c r="H258" s="21">
        <v>85.869</v>
      </c>
      <c r="I258" s="21">
        <v>668.91</v>
      </c>
      <c r="J258" s="21">
        <v>378.92899999999997</v>
      </c>
      <c r="K258" s="21">
        <v>39.966000000000001</v>
      </c>
      <c r="L258" s="21">
        <v>44.588999999999999</v>
      </c>
      <c r="M258" s="21">
        <v>211.56</v>
      </c>
      <c r="N258" s="21">
        <v>3.5409999999999999</v>
      </c>
      <c r="O258" s="21">
        <v>0.03</v>
      </c>
      <c r="P258" s="21">
        <v>0.32800000000000001</v>
      </c>
      <c r="Q258" s="21">
        <v>0.26400000000000001</v>
      </c>
      <c r="R258" s="21">
        <v>3.827</v>
      </c>
      <c r="S258" s="21">
        <v>3.6</v>
      </c>
      <c r="T258" s="147"/>
      <c r="U258" s="52"/>
      <c r="V258" s="52">
        <v>27.15</v>
      </c>
    </row>
    <row r="259" spans="2:22" x14ac:dyDescent="0.2">
      <c r="B259" s="69"/>
      <c r="C259" s="148" t="s">
        <v>65</v>
      </c>
      <c r="D259" s="138"/>
      <c r="E259" s="138"/>
      <c r="F259" s="140">
        <v>230.4</v>
      </c>
      <c r="G259" s="140">
        <v>216.5</v>
      </c>
      <c r="H259" s="140">
        <v>706.6</v>
      </c>
      <c r="I259" s="140">
        <v>5722.6</v>
      </c>
      <c r="J259" s="140">
        <v>6476.8</v>
      </c>
      <c r="K259" s="140">
        <v>789</v>
      </c>
      <c r="L259" s="140">
        <v>649</v>
      </c>
      <c r="M259" s="140">
        <v>2739.1</v>
      </c>
      <c r="N259" s="140">
        <v>34.299999999999997</v>
      </c>
      <c r="O259" s="140">
        <v>3.4</v>
      </c>
      <c r="P259" s="140">
        <v>1.6</v>
      </c>
      <c r="Q259" s="140">
        <v>2</v>
      </c>
      <c r="R259" s="140">
        <v>40.4</v>
      </c>
      <c r="S259" s="140">
        <v>197.6</v>
      </c>
      <c r="T259" s="139"/>
      <c r="U259" s="140"/>
      <c r="V259" s="140">
        <v>298.2</v>
      </c>
    </row>
    <row r="260" spans="2:22" x14ac:dyDescent="0.2">
      <c r="B260" s="69"/>
      <c r="C260" s="148" t="s">
        <v>66</v>
      </c>
      <c r="D260" s="138"/>
      <c r="E260" s="138"/>
      <c r="F260" s="138">
        <v>23.042000000000002</v>
      </c>
      <c r="G260" s="138">
        <v>21.65</v>
      </c>
      <c r="H260" s="138">
        <v>70.66</v>
      </c>
      <c r="I260" s="138">
        <v>572.26</v>
      </c>
      <c r="J260" s="138">
        <v>647.6848</v>
      </c>
      <c r="K260" s="138">
        <v>78.897900000000007</v>
      </c>
      <c r="L260" s="138">
        <v>64.903999999999996</v>
      </c>
      <c r="M260" s="138">
        <v>273.91000000000003</v>
      </c>
      <c r="N260" s="138">
        <v>3.431</v>
      </c>
      <c r="O260" s="138">
        <v>0.34</v>
      </c>
      <c r="P260" s="138">
        <v>0.158</v>
      </c>
      <c r="Q260" s="138">
        <v>0.20399999999999999</v>
      </c>
      <c r="R260" s="149">
        <v>4.04</v>
      </c>
      <c r="S260" s="150">
        <v>19.760000000000002</v>
      </c>
      <c r="T260" s="151"/>
      <c r="U260" s="152"/>
      <c r="V260" s="152">
        <v>29.82</v>
      </c>
    </row>
    <row r="261" spans="2:22" x14ac:dyDescent="0.2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70"/>
      <c r="S261" s="69"/>
      <c r="T261" s="69"/>
      <c r="U261" s="96"/>
      <c r="V261" s="69"/>
    </row>
    <row r="262" spans="2:22" x14ac:dyDescent="0.2">
      <c r="R262" s="54"/>
      <c r="S262" s="54"/>
      <c r="T262" s="54"/>
      <c r="U262" s="97"/>
      <c r="V262" s="54"/>
    </row>
    <row r="263" spans="2:22" ht="12" customHeight="1" x14ac:dyDescent="0.2">
      <c r="R263" s="54"/>
      <c r="S263" s="54"/>
      <c r="T263" s="54"/>
      <c r="U263" s="97"/>
      <c r="V263" s="54"/>
    </row>
    <row r="264" spans="2:22" hidden="1" x14ac:dyDescent="0.2">
      <c r="R264" s="54"/>
      <c r="S264" s="54"/>
      <c r="T264" s="54"/>
      <c r="U264" s="97"/>
      <c r="V264" s="54"/>
    </row>
    <row r="265" spans="2:22" hidden="1" x14ac:dyDescent="0.2">
      <c r="R265" s="54"/>
      <c r="S265" s="54"/>
      <c r="T265" s="54"/>
      <c r="U265" s="97"/>
      <c r="V265" s="54"/>
    </row>
    <row r="266" spans="2:22" hidden="1" x14ac:dyDescent="0.2">
      <c r="R266" s="54"/>
      <c r="S266" s="54"/>
      <c r="T266" s="54"/>
      <c r="U266" s="97"/>
      <c r="V266" s="54"/>
    </row>
    <row r="267" spans="2:22" hidden="1" x14ac:dyDescent="0.2">
      <c r="R267" s="54"/>
      <c r="S267" s="54"/>
      <c r="T267" s="54"/>
      <c r="U267" s="97"/>
      <c r="V267" s="54"/>
    </row>
    <row r="268" spans="2:22" hidden="1" x14ac:dyDescent="0.2">
      <c r="R268" s="54"/>
      <c r="S268" s="54"/>
      <c r="T268" s="54"/>
      <c r="U268" s="97"/>
      <c r="V268" s="54"/>
    </row>
    <row r="269" spans="2:22" hidden="1" x14ac:dyDescent="0.2">
      <c r="R269" s="54"/>
      <c r="S269" s="54"/>
      <c r="T269" s="54"/>
      <c r="U269" s="97"/>
      <c r="V269" s="54"/>
    </row>
    <row r="270" spans="2:22" hidden="1" x14ac:dyDescent="0.2">
      <c r="R270" s="54"/>
      <c r="S270" s="54"/>
      <c r="T270" s="54"/>
      <c r="U270" s="97"/>
      <c r="V270" s="54"/>
    </row>
    <row r="271" spans="2:22" hidden="1" x14ac:dyDescent="0.2">
      <c r="R271" s="54"/>
      <c r="S271" s="54"/>
      <c r="T271" s="54"/>
      <c r="U271" s="97"/>
      <c r="V271" s="54"/>
    </row>
    <row r="272" spans="2:22" hidden="1" x14ac:dyDescent="0.2">
      <c r="R272" s="54"/>
      <c r="S272" s="54"/>
      <c r="T272" s="54"/>
      <c r="U272" s="97"/>
      <c r="V272" s="54"/>
    </row>
    <row r="273" spans="2:22" hidden="1" x14ac:dyDescent="0.2">
      <c r="R273" s="54"/>
      <c r="S273" s="54"/>
      <c r="T273" s="54"/>
      <c r="U273" s="97"/>
      <c r="V273" s="54"/>
    </row>
    <row r="274" spans="2:22" hidden="1" x14ac:dyDescent="0.2">
      <c r="R274" s="54"/>
      <c r="S274" s="54"/>
      <c r="T274" s="54"/>
      <c r="U274" s="97"/>
      <c r="V274" s="54"/>
    </row>
    <row r="275" spans="2:22" hidden="1" x14ac:dyDescent="0.2">
      <c r="R275" s="54"/>
      <c r="S275" s="54"/>
      <c r="T275" s="54"/>
      <c r="U275" s="97"/>
      <c r="V275" s="54"/>
    </row>
    <row r="276" spans="2:22" hidden="1" x14ac:dyDescent="0.2">
      <c r="R276" s="54"/>
      <c r="S276" s="54"/>
      <c r="T276" s="54"/>
      <c r="U276" s="97"/>
      <c r="V276" s="54"/>
    </row>
    <row r="277" spans="2:22" hidden="1" x14ac:dyDescent="0.2">
      <c r="R277" s="54"/>
      <c r="S277" s="54"/>
      <c r="T277" s="54"/>
      <c r="U277" s="97"/>
      <c r="V277" s="54"/>
    </row>
    <row r="278" spans="2:22" hidden="1" x14ac:dyDescent="0.2">
      <c r="R278" s="54"/>
      <c r="S278" s="54"/>
      <c r="T278" s="54"/>
      <c r="U278" s="97"/>
      <c r="V278" s="54"/>
    </row>
    <row r="279" spans="2:22" hidden="1" x14ac:dyDescent="0.2">
      <c r="R279" s="54"/>
      <c r="S279" s="54"/>
      <c r="T279" s="54"/>
      <c r="U279" s="97"/>
      <c r="V279" s="54"/>
    </row>
    <row r="280" spans="2:22" hidden="1" x14ac:dyDescent="0.2">
      <c r="R280" s="54"/>
      <c r="S280" s="54"/>
      <c r="T280" s="54"/>
      <c r="U280" s="97"/>
      <c r="V280" s="54"/>
    </row>
    <row r="281" spans="2:22" hidden="1" x14ac:dyDescent="0.2">
      <c r="R281" s="54"/>
      <c r="S281" s="54"/>
      <c r="T281" s="54"/>
      <c r="U281" s="97"/>
      <c r="V281" s="54"/>
    </row>
    <row r="282" spans="2:22" hidden="1" x14ac:dyDescent="0.2">
      <c r="B282" s="127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97"/>
      <c r="V282" s="54"/>
    </row>
    <row r="283" spans="2:22" hidden="1" x14ac:dyDescent="0.2">
      <c r="B283" s="127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97"/>
      <c r="V283" s="54"/>
    </row>
    <row r="284" spans="2:22" hidden="1" x14ac:dyDescent="0.2">
      <c r="B284" s="127"/>
      <c r="C284" s="99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77"/>
      <c r="U284" s="101"/>
      <c r="V284" s="54"/>
    </row>
    <row r="285" spans="2:22" hidden="1" x14ac:dyDescent="0.2">
      <c r="B285" s="127"/>
      <c r="C285" s="99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77"/>
      <c r="U285" s="101"/>
      <c r="V285" s="54"/>
    </row>
    <row r="286" spans="2:22" hidden="1" x14ac:dyDescent="0.2">
      <c r="B286" s="127"/>
      <c r="C286" s="99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77"/>
      <c r="U286" s="101"/>
      <c r="V286" s="54"/>
    </row>
    <row r="287" spans="2:22" hidden="1" x14ac:dyDescent="0.2">
      <c r="B287" s="127"/>
      <c r="C287" s="102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101"/>
      <c r="V287" s="77"/>
    </row>
    <row r="288" spans="2:22" hidden="1" x14ac:dyDescent="0.2">
      <c r="B288" s="127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97"/>
      <c r="V288" s="54"/>
    </row>
    <row r="289" spans="2:22" hidden="1" x14ac:dyDescent="0.2">
      <c r="B289" s="127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97"/>
      <c r="V289" s="54"/>
    </row>
    <row r="290" spans="2:22" hidden="1" x14ac:dyDescent="0.2">
      <c r="B290" s="127"/>
      <c r="C290" s="103"/>
      <c r="D290" s="54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100"/>
      <c r="U290" s="97"/>
      <c r="V290" s="54"/>
    </row>
    <row r="291" spans="2:22" x14ac:dyDescent="0.2">
      <c r="B291" s="127"/>
      <c r="C291" s="105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100"/>
      <c r="U291" s="97"/>
      <c r="V291" s="54"/>
    </row>
    <row r="292" spans="2:22" x14ac:dyDescent="0.2">
      <c r="B292" s="127"/>
      <c r="C292" s="105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100"/>
      <c r="U292" s="97"/>
      <c r="V292" s="54"/>
    </row>
    <row r="293" spans="2:22" x14ac:dyDescent="0.2">
      <c r="B293" s="127"/>
      <c r="C293" s="105"/>
      <c r="D293" s="54"/>
      <c r="E293" s="54"/>
      <c r="F293" s="54"/>
      <c r="G293" s="54"/>
      <c r="H293" s="54"/>
      <c r="I293" s="54"/>
      <c r="J293" s="106"/>
      <c r="K293" s="100"/>
      <c r="L293" s="100"/>
      <c r="M293" s="107"/>
      <c r="N293" s="100"/>
      <c r="O293" s="100"/>
      <c r="P293" s="100"/>
      <c r="Q293" s="100"/>
      <c r="R293" s="100"/>
      <c r="S293" s="100"/>
      <c r="T293" s="100"/>
      <c r="U293" s="97"/>
      <c r="V293" s="54"/>
    </row>
    <row r="294" spans="2:22" x14ac:dyDescent="0.2">
      <c r="B294" s="127"/>
      <c r="C294" s="105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100"/>
      <c r="U294" s="97"/>
      <c r="V294" s="54"/>
    </row>
    <row r="295" spans="2:22" x14ac:dyDescent="0.2">
      <c r="B295" s="127"/>
      <c r="C295" s="105"/>
      <c r="D295" s="54"/>
      <c r="E295" s="54"/>
      <c r="F295" s="54"/>
      <c r="G295" s="54"/>
      <c r="H295" s="54"/>
      <c r="I295" s="54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97"/>
      <c r="V295" s="54"/>
    </row>
    <row r="296" spans="2:22" x14ac:dyDescent="0.2">
      <c r="B296" s="127"/>
      <c r="C296" s="105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100"/>
      <c r="U296" s="97"/>
      <c r="V296" s="54"/>
    </row>
    <row r="297" spans="2:22" x14ac:dyDescent="0.2">
      <c r="B297" s="127"/>
      <c r="C297" s="105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100"/>
      <c r="U297" s="97"/>
      <c r="V297" s="54"/>
    </row>
    <row r="298" spans="2:22" x14ac:dyDescent="0.2">
      <c r="B298" s="127"/>
      <c r="C298" s="105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100"/>
      <c r="U298" s="97"/>
      <c r="V298" s="54"/>
    </row>
    <row r="299" spans="2:22" x14ac:dyDescent="0.2">
      <c r="B299" s="127"/>
      <c r="C299" s="105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100"/>
      <c r="U299" s="97"/>
      <c r="V299" s="54"/>
    </row>
    <row r="300" spans="2:22" x14ac:dyDescent="0.2">
      <c r="B300" s="127"/>
      <c r="C300" s="102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101"/>
      <c r="V300" s="77"/>
    </row>
    <row r="301" spans="2:22" x14ac:dyDescent="0.2">
      <c r="B301" s="127"/>
      <c r="C301" s="102"/>
      <c r="D301" s="100"/>
      <c r="E301" s="77"/>
      <c r="F301" s="77"/>
      <c r="G301" s="77"/>
      <c r="H301" s="108"/>
      <c r="I301" s="77"/>
      <c r="J301" s="109"/>
      <c r="K301" s="108"/>
      <c r="L301" s="77"/>
      <c r="M301" s="77"/>
      <c r="N301" s="77"/>
      <c r="O301" s="77"/>
      <c r="P301" s="77"/>
      <c r="Q301" s="77"/>
      <c r="R301" s="77"/>
      <c r="S301" s="77"/>
      <c r="T301" s="100"/>
      <c r="U301" s="97"/>
      <c r="V301" s="54"/>
    </row>
    <row r="302" spans="2:22" x14ac:dyDescent="0.2">
      <c r="B302" s="127"/>
      <c r="C302" s="99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97"/>
      <c r="V302" s="54"/>
    </row>
    <row r="303" spans="2:22" x14ac:dyDescent="0.2">
      <c r="B303" s="127"/>
      <c r="C303" s="99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77"/>
      <c r="U303" s="101"/>
      <c r="V303" s="54"/>
    </row>
    <row r="304" spans="2:22" x14ac:dyDescent="0.2">
      <c r="B304" s="127"/>
      <c r="C304" s="99"/>
      <c r="D304" s="100"/>
      <c r="E304" s="100"/>
      <c r="F304" s="110"/>
      <c r="G304" s="110"/>
      <c r="H304" s="110"/>
      <c r="I304" s="110"/>
      <c r="J304" s="111"/>
      <c r="K304" s="110"/>
      <c r="L304" s="110"/>
      <c r="M304" s="110"/>
      <c r="N304" s="110"/>
      <c r="O304" s="110"/>
      <c r="P304" s="110"/>
      <c r="Q304" s="110"/>
      <c r="R304" s="110"/>
      <c r="S304" s="110"/>
      <c r="T304" s="77"/>
      <c r="U304" s="101"/>
      <c r="V304" s="54"/>
    </row>
    <row r="305" spans="2:22" x14ac:dyDescent="0.2">
      <c r="B305" s="127"/>
      <c r="C305" s="99"/>
      <c r="D305" s="100"/>
      <c r="E305" s="100"/>
      <c r="F305" s="100"/>
      <c r="G305" s="100"/>
      <c r="H305" s="100"/>
      <c r="I305" s="100"/>
      <c r="J305" s="106"/>
      <c r="K305" s="100"/>
      <c r="L305" s="100"/>
      <c r="M305" s="112"/>
      <c r="N305" s="100"/>
      <c r="O305" s="100"/>
      <c r="P305" s="100"/>
      <c r="Q305" s="100"/>
      <c r="R305" s="100"/>
      <c r="S305" s="100"/>
      <c r="T305" s="100"/>
      <c r="U305" s="101"/>
      <c r="V305" s="54"/>
    </row>
    <row r="306" spans="2:22" x14ac:dyDescent="0.2">
      <c r="B306" s="127"/>
      <c r="C306" s="99"/>
      <c r="D306" s="100"/>
      <c r="E306" s="10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00"/>
      <c r="U306" s="101"/>
      <c r="V306" s="54"/>
    </row>
    <row r="307" spans="2:22" x14ac:dyDescent="0.2">
      <c r="B307" s="127"/>
      <c r="C307" s="99"/>
      <c r="D307" s="100"/>
      <c r="E307" s="100"/>
      <c r="F307" s="100"/>
      <c r="G307" s="100"/>
      <c r="H307" s="107"/>
      <c r="I307" s="100"/>
      <c r="J307" s="106"/>
      <c r="K307" s="107"/>
      <c r="L307" s="100"/>
      <c r="M307" s="100"/>
      <c r="N307" s="100"/>
      <c r="O307" s="100"/>
      <c r="P307" s="100"/>
      <c r="Q307" s="100"/>
      <c r="R307" s="100"/>
      <c r="S307" s="100"/>
      <c r="T307" s="100"/>
      <c r="U307" s="101"/>
      <c r="V307" s="54"/>
    </row>
    <row r="308" spans="2:22" x14ac:dyDescent="0.2">
      <c r="B308" s="127"/>
      <c r="C308" s="102"/>
      <c r="D308" s="199"/>
      <c r="E308" s="199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101"/>
      <c r="V308" s="77"/>
    </row>
    <row r="309" spans="2:22" x14ac:dyDescent="0.2">
      <c r="B309" s="127"/>
      <c r="C309" s="102"/>
      <c r="D309" s="100"/>
      <c r="E309" s="77"/>
      <c r="F309" s="77"/>
      <c r="G309" s="77"/>
      <c r="H309" s="77"/>
      <c r="I309" s="77"/>
      <c r="J309" s="108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101"/>
      <c r="V309" s="77"/>
    </row>
    <row r="310" spans="2:22" x14ac:dyDescent="0.2">
      <c r="B310" s="127"/>
      <c r="C310" s="99"/>
      <c r="D310" s="100"/>
      <c r="E310" s="100"/>
      <c r="F310" s="100"/>
      <c r="G310" s="100"/>
      <c r="H310" s="100"/>
      <c r="I310" s="100"/>
      <c r="J310" s="107"/>
      <c r="K310" s="100"/>
      <c r="L310" s="100"/>
      <c r="M310" s="100"/>
      <c r="N310" s="100"/>
      <c r="O310" s="100"/>
      <c r="P310" s="100"/>
      <c r="Q310" s="100"/>
      <c r="R310" s="100"/>
      <c r="S310" s="100"/>
      <c r="T310" s="77"/>
      <c r="U310" s="101"/>
      <c r="V310" s="54"/>
    </row>
    <row r="311" spans="2:22" x14ac:dyDescent="0.2">
      <c r="B311" s="127"/>
      <c r="C311" s="99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77"/>
      <c r="U311" s="101"/>
      <c r="V311" s="54"/>
    </row>
    <row r="312" spans="2:22" x14ac:dyDescent="0.2">
      <c r="B312" s="127"/>
      <c r="C312" s="99"/>
      <c r="D312" s="100"/>
      <c r="E312" s="100"/>
      <c r="F312" s="100"/>
      <c r="G312" s="100"/>
      <c r="H312" s="100"/>
      <c r="I312" s="100"/>
      <c r="J312" s="114"/>
      <c r="K312" s="100"/>
      <c r="L312" s="100"/>
      <c r="M312" s="100"/>
      <c r="N312" s="100"/>
      <c r="O312" s="100"/>
      <c r="P312" s="100"/>
      <c r="Q312" s="100"/>
      <c r="R312" s="100"/>
      <c r="S312" s="100"/>
      <c r="T312" s="77"/>
      <c r="U312" s="101"/>
      <c r="V312" s="54"/>
    </row>
    <row r="313" spans="2:22" x14ac:dyDescent="0.2">
      <c r="B313" s="127"/>
      <c r="C313" s="102"/>
      <c r="D313" s="199"/>
      <c r="E313" s="199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101"/>
      <c r="V313" s="77"/>
    </row>
    <row r="314" spans="2:22" x14ac:dyDescent="0.2">
      <c r="B314" s="127"/>
      <c r="C314" s="102"/>
      <c r="D314" s="77"/>
      <c r="E314" s="77"/>
      <c r="F314" s="77"/>
      <c r="G314" s="77"/>
      <c r="H314" s="77"/>
      <c r="I314" s="77"/>
      <c r="J314" s="77"/>
      <c r="K314" s="77"/>
      <c r="L314" s="77"/>
      <c r="M314" s="108"/>
      <c r="N314" s="77"/>
      <c r="O314" s="77"/>
      <c r="P314" s="77"/>
      <c r="Q314" s="77"/>
      <c r="R314" s="77"/>
      <c r="S314" s="77"/>
      <c r="T314" s="77"/>
      <c r="U314" s="101"/>
      <c r="V314" s="77"/>
    </row>
    <row r="315" spans="2:22" ht="15.75" x14ac:dyDescent="0.2">
      <c r="B315" s="127"/>
      <c r="C315" s="115"/>
      <c r="D315" s="115"/>
      <c r="E315" s="116"/>
      <c r="F315" s="117"/>
      <c r="G315" s="117"/>
      <c r="H315" s="117"/>
      <c r="I315" s="117"/>
      <c r="J315" s="118"/>
      <c r="K315" s="117"/>
      <c r="L315" s="117"/>
      <c r="M315" s="117"/>
      <c r="N315" s="117"/>
      <c r="O315" s="117"/>
      <c r="P315" s="117"/>
      <c r="Q315" s="117"/>
      <c r="R315" s="117"/>
      <c r="S315" s="117"/>
      <c r="T315" s="77"/>
      <c r="U315" s="101"/>
      <c r="V315" s="54"/>
    </row>
    <row r="316" spans="2:22" ht="15.75" x14ac:dyDescent="0.2">
      <c r="B316" s="127"/>
      <c r="C316" s="119"/>
      <c r="D316" s="116"/>
      <c r="E316" s="116"/>
      <c r="F316" s="100"/>
      <c r="G316" s="100"/>
      <c r="H316" s="100"/>
      <c r="I316" s="100"/>
      <c r="J316" s="107"/>
      <c r="K316" s="100"/>
      <c r="L316" s="100"/>
      <c r="M316" s="107"/>
      <c r="N316" s="100"/>
      <c r="O316" s="100"/>
      <c r="P316" s="100"/>
      <c r="Q316" s="100"/>
      <c r="R316" s="100"/>
      <c r="S316" s="100"/>
      <c r="T316" s="77"/>
      <c r="U316" s="101"/>
      <c r="V316" s="54"/>
    </row>
    <row r="317" spans="2:22" ht="15.75" x14ac:dyDescent="0.2">
      <c r="B317" s="127"/>
      <c r="C317" s="119"/>
      <c r="D317" s="116"/>
      <c r="E317" s="116"/>
      <c r="F317" s="117"/>
      <c r="G317" s="117"/>
      <c r="H317" s="117"/>
      <c r="I317" s="117"/>
      <c r="J317" s="118"/>
      <c r="K317" s="117"/>
      <c r="L317" s="117"/>
      <c r="M317" s="117"/>
      <c r="N317" s="117"/>
      <c r="O317" s="117"/>
      <c r="P317" s="117"/>
      <c r="Q317" s="117"/>
      <c r="R317" s="117"/>
      <c r="S317" s="117"/>
      <c r="T317" s="77"/>
      <c r="U317" s="101"/>
      <c r="V317" s="54"/>
    </row>
  </sheetData>
  <mergeCells count="22">
    <mergeCell ref="B1:V1"/>
    <mergeCell ref="B2:B3"/>
    <mergeCell ref="C2:C3"/>
    <mergeCell ref="D2:D3"/>
    <mergeCell ref="E2:E3"/>
    <mergeCell ref="F2:F3"/>
    <mergeCell ref="G2:G3"/>
    <mergeCell ref="H2:H3"/>
    <mergeCell ref="I2:I3"/>
    <mergeCell ref="J2:N2"/>
    <mergeCell ref="D251:E251"/>
    <mergeCell ref="O2:S2"/>
    <mergeCell ref="T2:T3"/>
    <mergeCell ref="D39:E39"/>
    <mergeCell ref="D96:E96"/>
    <mergeCell ref="D131:E131"/>
    <mergeCell ref="D10:E10"/>
    <mergeCell ref="D180:E180"/>
    <mergeCell ref="D214:E214"/>
    <mergeCell ref="D223:E223"/>
    <mergeCell ref="D232:E232"/>
    <mergeCell ref="D241:E241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14"/>
  <sheetViews>
    <sheetView view="pageBreakPreview" topLeftCell="A203" zoomScale="60" workbookViewId="0">
      <selection activeCell="A17" sqref="A16:XFD17"/>
    </sheetView>
  </sheetViews>
  <sheetFormatPr defaultRowHeight="12.75" x14ac:dyDescent="0.2"/>
  <cols>
    <col min="1" max="1" width="2.5703125" customWidth="1"/>
    <col min="2" max="2" width="7.85546875" style="126" customWidth="1"/>
    <col min="3" max="3" width="30.140625" customWidth="1"/>
    <col min="4" max="4" width="7.28515625" customWidth="1"/>
    <col min="5" max="5" width="7.7109375" customWidth="1"/>
    <col min="6" max="6" width="7.140625" customWidth="1"/>
    <col min="7" max="7" width="6.85546875" customWidth="1"/>
    <col min="8" max="8" width="7" customWidth="1"/>
    <col min="9" max="9" width="7.28515625" customWidth="1"/>
    <col min="10" max="10" width="8" customWidth="1"/>
    <col min="11" max="11" width="7.28515625" customWidth="1"/>
    <col min="12" max="12" width="6.140625" customWidth="1"/>
    <col min="13" max="13" width="6.85546875" customWidth="1"/>
    <col min="14" max="14" width="5" customWidth="1"/>
    <col min="15" max="15" width="5.140625" customWidth="1"/>
    <col min="16" max="17" width="5.28515625" customWidth="1"/>
    <col min="18" max="18" width="6.28515625" customWidth="1"/>
    <col min="19" max="19" width="6" style="22" customWidth="1"/>
    <col min="20" max="20" width="6.28515625" style="22" hidden="1" customWidth="1"/>
    <col min="21" max="21" width="6.85546875" style="93" customWidth="1"/>
    <col min="22" max="22" width="6.28515625" customWidth="1"/>
  </cols>
  <sheetData>
    <row r="1" spans="1:23" ht="14.25" customHeight="1" thickBot="1" x14ac:dyDescent="0.25"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</row>
    <row r="2" spans="1:23" ht="38.25" customHeight="1" x14ac:dyDescent="0.2">
      <c r="B2" s="317" t="s">
        <v>7</v>
      </c>
      <c r="C2" s="319" t="s">
        <v>8</v>
      </c>
      <c r="D2" s="319" t="s">
        <v>9</v>
      </c>
      <c r="E2" s="319" t="s">
        <v>10</v>
      </c>
      <c r="F2" s="319" t="s">
        <v>11</v>
      </c>
      <c r="G2" s="319" t="s">
        <v>12</v>
      </c>
      <c r="H2" s="322" t="s">
        <v>13</v>
      </c>
      <c r="I2" s="322" t="s">
        <v>14</v>
      </c>
      <c r="J2" s="324" t="s">
        <v>26</v>
      </c>
      <c r="K2" s="324"/>
      <c r="L2" s="324"/>
      <c r="M2" s="324"/>
      <c r="N2" s="324"/>
      <c r="O2" s="324" t="s">
        <v>27</v>
      </c>
      <c r="P2" s="324"/>
      <c r="Q2" s="324"/>
      <c r="R2" s="324"/>
      <c r="S2" s="325"/>
      <c r="T2" s="321"/>
      <c r="V2" s="56" t="s">
        <v>83</v>
      </c>
    </row>
    <row r="3" spans="1:23" ht="13.5" thickBot="1" x14ac:dyDescent="0.25">
      <c r="B3" s="318"/>
      <c r="C3" s="320"/>
      <c r="D3" s="320"/>
      <c r="E3" s="320"/>
      <c r="F3" s="320"/>
      <c r="G3" s="320"/>
      <c r="H3" s="323"/>
      <c r="I3" s="323"/>
      <c r="J3" s="12" t="s">
        <v>28</v>
      </c>
      <c r="K3" s="12" t="s">
        <v>15</v>
      </c>
      <c r="L3" s="12" t="s">
        <v>16</v>
      </c>
      <c r="M3" s="12" t="s">
        <v>17</v>
      </c>
      <c r="N3" s="12" t="s">
        <v>18</v>
      </c>
      <c r="O3" s="12" t="s">
        <v>19</v>
      </c>
      <c r="P3" s="12" t="s">
        <v>20</v>
      </c>
      <c r="Q3" s="12" t="s">
        <v>21</v>
      </c>
      <c r="R3" s="13" t="s">
        <v>22</v>
      </c>
      <c r="S3" s="53" t="s">
        <v>23</v>
      </c>
      <c r="T3" s="321"/>
      <c r="V3" s="52"/>
    </row>
    <row r="4" spans="1:23" x14ac:dyDescent="0.2">
      <c r="B4" s="144"/>
      <c r="C4" s="1" t="s">
        <v>0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66"/>
      <c r="S4" s="69"/>
      <c r="T4" s="69"/>
      <c r="U4" s="96"/>
      <c r="V4" s="84"/>
    </row>
    <row r="5" spans="1:23" x14ac:dyDescent="0.2">
      <c r="B5" s="69"/>
      <c r="C5" s="196" t="s">
        <v>163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  <c r="S5" s="69"/>
      <c r="T5" s="69"/>
      <c r="U5" s="96"/>
      <c r="V5" s="84"/>
    </row>
    <row r="6" spans="1:23" s="26" customFormat="1" x14ac:dyDescent="0.2">
      <c r="B6" s="69"/>
      <c r="C6" s="5" t="s">
        <v>125</v>
      </c>
      <c r="D6" s="69"/>
      <c r="E6" s="3">
        <v>200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U6" s="32"/>
      <c r="V6" s="96">
        <v>0.32860800000000001</v>
      </c>
    </row>
    <row r="7" spans="1:23" s="26" customFormat="1" ht="38.25" x14ac:dyDescent="0.2">
      <c r="B7" s="69" t="s">
        <v>124</v>
      </c>
      <c r="C7" s="78" t="s">
        <v>126</v>
      </c>
      <c r="D7" s="69">
        <v>176.2</v>
      </c>
      <c r="E7" s="69">
        <v>191</v>
      </c>
      <c r="F7" s="36">
        <f>15.5*E7/100</f>
        <v>29.605</v>
      </c>
      <c r="G7" s="36">
        <f>8*E7/100</f>
        <v>15.28</v>
      </c>
      <c r="H7" s="36">
        <f>29.7*E7/100</f>
        <v>56.726999999999997</v>
      </c>
      <c r="I7" s="36">
        <f>245*E7/100</f>
        <v>467.95</v>
      </c>
      <c r="J7" s="37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U7" s="96">
        <v>164.16</v>
      </c>
      <c r="V7" s="96">
        <v>0.14080000000000001</v>
      </c>
    </row>
    <row r="8" spans="1:23" s="26" customFormat="1" x14ac:dyDescent="0.2">
      <c r="B8" s="69"/>
      <c r="C8" s="65" t="s">
        <v>37</v>
      </c>
      <c r="D8" s="69">
        <v>9</v>
      </c>
      <c r="E8" s="69">
        <v>9</v>
      </c>
      <c r="F8" s="69">
        <f>0.8*E8/100</f>
        <v>7.2000000000000008E-2</v>
      </c>
      <c r="G8" s="69">
        <f>72.5*E8/100</f>
        <v>6.5250000000000004</v>
      </c>
      <c r="H8" s="69">
        <f>1.3*E8/100</f>
        <v>0.11700000000000001</v>
      </c>
      <c r="I8" s="69">
        <f>661*E8/100</f>
        <v>59.49</v>
      </c>
      <c r="J8" s="86">
        <f>23*E8/100</f>
        <v>2.0699999999999998</v>
      </c>
      <c r="K8" s="69">
        <f>22*E8/100</f>
        <v>1.98</v>
      </c>
      <c r="L8" s="69">
        <f>3*E8/100</f>
        <v>0.27</v>
      </c>
      <c r="M8" s="85">
        <f>19*E8/100</f>
        <v>1.71</v>
      </c>
      <c r="N8" s="69">
        <f>0.2*E8/100</f>
        <v>1.8000000000000002E-2</v>
      </c>
      <c r="O8" s="69">
        <f>0.5*E8/100</f>
        <v>4.4999999999999998E-2</v>
      </c>
      <c r="P8" s="69">
        <f>0</f>
        <v>0</v>
      </c>
      <c r="Q8" s="96">
        <f>0.01*E8/1000</f>
        <v>8.9999999999999992E-5</v>
      </c>
      <c r="R8" s="69">
        <f>0.1*E8/100</f>
        <v>9.0000000000000011E-3</v>
      </c>
      <c r="S8" s="69">
        <f>0</f>
        <v>0</v>
      </c>
      <c r="U8" s="96">
        <v>337.78</v>
      </c>
      <c r="V8" s="96">
        <v>2.2259999999999999E-2</v>
      </c>
    </row>
    <row r="9" spans="1:23" s="26" customFormat="1" x14ac:dyDescent="0.2">
      <c r="B9" s="69"/>
      <c r="C9" s="39" t="s">
        <v>47</v>
      </c>
      <c r="D9" s="69"/>
      <c r="E9" s="69"/>
      <c r="F9" s="3">
        <f>F7+F8</f>
        <v>29.677</v>
      </c>
      <c r="G9" s="3">
        <f t="shared" ref="G9:S9" si="0">G7+G8</f>
        <v>21.805</v>
      </c>
      <c r="H9" s="3">
        <f t="shared" si="0"/>
        <v>56.843999999999994</v>
      </c>
      <c r="I9" s="3">
        <f t="shared" si="0"/>
        <v>527.43999999999994</v>
      </c>
      <c r="J9" s="3">
        <f t="shared" si="0"/>
        <v>2.0699999999999998</v>
      </c>
      <c r="K9" s="3">
        <f t="shared" si="0"/>
        <v>1.98</v>
      </c>
      <c r="L9" s="3">
        <f t="shared" si="0"/>
        <v>0.27</v>
      </c>
      <c r="M9" s="3">
        <f t="shared" si="0"/>
        <v>1.71</v>
      </c>
      <c r="N9" s="3">
        <f t="shared" si="0"/>
        <v>1.8000000000000002E-2</v>
      </c>
      <c r="O9" s="3">
        <f t="shared" si="0"/>
        <v>4.4999999999999998E-2</v>
      </c>
      <c r="P9" s="3">
        <f t="shared" si="0"/>
        <v>0</v>
      </c>
      <c r="Q9" s="3">
        <f t="shared" si="0"/>
        <v>8.9999999999999992E-5</v>
      </c>
      <c r="R9" s="3">
        <f t="shared" si="0"/>
        <v>9.0000000000000011E-3</v>
      </c>
      <c r="S9" s="3">
        <f t="shared" si="0"/>
        <v>0</v>
      </c>
      <c r="U9" s="96"/>
      <c r="V9" s="96">
        <v>0</v>
      </c>
    </row>
    <row r="10" spans="1:23" s="26" customFormat="1" x14ac:dyDescent="0.2">
      <c r="B10" s="69" t="s">
        <v>73</v>
      </c>
      <c r="C10" s="5" t="s">
        <v>74</v>
      </c>
      <c r="D10" s="313" t="s">
        <v>75</v>
      </c>
      <c r="E10" s="314"/>
      <c r="F10" s="3">
        <f t="shared" ref="F10:S10" si="1">SUM(F11:F13)</f>
        <v>0.1</v>
      </c>
      <c r="G10" s="3">
        <f t="shared" si="1"/>
        <v>0</v>
      </c>
      <c r="H10" s="3">
        <f t="shared" si="1"/>
        <v>15</v>
      </c>
      <c r="I10" s="3">
        <f t="shared" si="1"/>
        <v>57.699999999999996</v>
      </c>
      <c r="J10" s="3">
        <f t="shared" si="1"/>
        <v>12.9</v>
      </c>
      <c r="K10" s="3">
        <f t="shared" si="1"/>
        <v>2.9</v>
      </c>
      <c r="L10" s="3">
        <f t="shared" si="1"/>
        <v>2.2000000000000002</v>
      </c>
      <c r="M10" s="3">
        <f t="shared" si="1"/>
        <v>4.12</v>
      </c>
      <c r="N10" s="3">
        <f t="shared" si="1"/>
        <v>0.4</v>
      </c>
      <c r="O10" s="3">
        <f t="shared" si="1"/>
        <v>0</v>
      </c>
      <c r="P10" s="3">
        <f t="shared" si="1"/>
        <v>0</v>
      </c>
      <c r="Q10" s="3">
        <f t="shared" si="1"/>
        <v>0</v>
      </c>
      <c r="R10" s="50">
        <f t="shared" si="1"/>
        <v>0</v>
      </c>
      <c r="S10" s="3">
        <f t="shared" si="1"/>
        <v>0</v>
      </c>
      <c r="T10" s="69"/>
      <c r="U10" s="96"/>
      <c r="V10" s="84"/>
    </row>
    <row r="11" spans="1:23" s="26" customFormat="1" x14ac:dyDescent="0.2">
      <c r="B11" s="69"/>
      <c r="C11" s="65" t="s">
        <v>40</v>
      </c>
      <c r="D11" s="159">
        <v>50</v>
      </c>
      <c r="E11" s="159">
        <v>50</v>
      </c>
      <c r="F11" s="69">
        <v>0.1</v>
      </c>
      <c r="G11" s="69">
        <v>0</v>
      </c>
      <c r="H11" s="69">
        <v>0</v>
      </c>
      <c r="I11" s="69">
        <v>0.8</v>
      </c>
      <c r="J11" s="85">
        <v>12.4</v>
      </c>
      <c r="K11" s="69">
        <v>2.5</v>
      </c>
      <c r="L11" s="69">
        <v>2.2000000000000002</v>
      </c>
      <c r="M11" s="85">
        <v>4.12</v>
      </c>
      <c r="N11" s="69">
        <v>0.4</v>
      </c>
      <c r="O11" s="69">
        <v>0</v>
      </c>
      <c r="P11" s="69">
        <v>0</v>
      </c>
      <c r="Q11" s="69">
        <v>0</v>
      </c>
      <c r="R11" s="70">
        <v>0</v>
      </c>
      <c r="S11" s="69">
        <v>0</v>
      </c>
      <c r="T11" s="69"/>
      <c r="U11" s="96">
        <v>539.16999999999996</v>
      </c>
      <c r="V11" s="84">
        <f>1*U11/1000</f>
        <v>0.53916999999999993</v>
      </c>
    </row>
    <row r="12" spans="1:23" s="26" customFormat="1" x14ac:dyDescent="0.2">
      <c r="B12" s="69"/>
      <c r="C12" s="65" t="s">
        <v>30</v>
      </c>
      <c r="D12" s="159">
        <v>15</v>
      </c>
      <c r="E12" s="159">
        <v>15</v>
      </c>
      <c r="F12" s="69">
        <v>0</v>
      </c>
      <c r="G12" s="69">
        <v>0</v>
      </c>
      <c r="H12" s="69">
        <v>15</v>
      </c>
      <c r="I12" s="69">
        <v>56.9</v>
      </c>
      <c r="J12" s="85">
        <v>0.5</v>
      </c>
      <c r="K12" s="69">
        <v>0.4</v>
      </c>
      <c r="L12" s="69">
        <v>0</v>
      </c>
      <c r="M12" s="85">
        <v>0</v>
      </c>
      <c r="N12" s="69">
        <v>0</v>
      </c>
      <c r="O12" s="69">
        <v>0</v>
      </c>
      <c r="P12" s="69">
        <v>0</v>
      </c>
      <c r="Q12" s="69">
        <v>0</v>
      </c>
      <c r="R12" s="70">
        <v>0</v>
      </c>
      <c r="S12" s="69">
        <v>0</v>
      </c>
      <c r="T12" s="69"/>
      <c r="U12" s="96">
        <v>50.97</v>
      </c>
      <c r="V12" s="84">
        <f>D12*U12/1000</f>
        <v>0.76454999999999995</v>
      </c>
    </row>
    <row r="13" spans="1:23" s="67" customFormat="1" x14ac:dyDescent="0.2">
      <c r="A13" s="154"/>
      <c r="B13" s="69"/>
      <c r="C13" s="65" t="s">
        <v>35</v>
      </c>
      <c r="D13" s="159">
        <v>150</v>
      </c>
      <c r="E13" s="159">
        <v>150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70">
        <v>0</v>
      </c>
      <c r="S13" s="69">
        <v>0</v>
      </c>
      <c r="T13" s="69"/>
      <c r="U13" s="96">
        <v>0</v>
      </c>
      <c r="V13" s="84">
        <f>D13*U13/1000</f>
        <v>0</v>
      </c>
      <c r="W13" s="154"/>
    </row>
    <row r="14" spans="1:23" x14ac:dyDescent="0.2">
      <c r="B14" s="69"/>
      <c r="C14" s="39" t="s">
        <v>47</v>
      </c>
      <c r="D14" s="196"/>
      <c r="E14" s="19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3"/>
      <c r="U14" s="32"/>
      <c r="V14" s="21">
        <f>SUM(V11:V13)</f>
        <v>1.3037199999999998</v>
      </c>
    </row>
    <row r="15" spans="1:23" x14ac:dyDescent="0.2">
      <c r="B15" s="69"/>
      <c r="C15" s="42" t="s">
        <v>164</v>
      </c>
      <c r="D15" s="42"/>
      <c r="E15" s="42"/>
      <c r="F15" s="42">
        <v>28.915900000000001</v>
      </c>
      <c r="G15" s="42">
        <v>30.662700000000001</v>
      </c>
      <c r="H15" s="42">
        <v>88.719399999999993</v>
      </c>
      <c r="I15" s="42">
        <v>666.63760000000002</v>
      </c>
      <c r="J15" s="42">
        <v>786.74599999999998</v>
      </c>
      <c r="K15" s="42">
        <v>131.678</v>
      </c>
      <c r="L15" s="42">
        <v>135.65799999999999</v>
      </c>
      <c r="M15" s="42">
        <v>183.2825</v>
      </c>
      <c r="N15" s="42">
        <v>8.1952200000000008</v>
      </c>
      <c r="O15" s="42">
        <v>6.3E-2</v>
      </c>
      <c r="P15" s="42">
        <v>0.51873999999999998</v>
      </c>
      <c r="Q15" s="42">
        <v>0.33509100000000003</v>
      </c>
      <c r="R15" s="42">
        <v>6.69116</v>
      </c>
      <c r="S15" s="42">
        <v>45.122500000000002</v>
      </c>
      <c r="T15" s="42"/>
      <c r="U15" s="153">
        <v>33.19</v>
      </c>
      <c r="V15" s="135">
        <v>0.88400000000000001</v>
      </c>
    </row>
    <row r="16" spans="1:23" x14ac:dyDescent="0.2">
      <c r="B16" s="69"/>
      <c r="C16" s="196" t="s">
        <v>3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69"/>
      <c r="T16" s="69"/>
      <c r="U16" s="96"/>
      <c r="V16" s="84"/>
    </row>
    <row r="17" spans="2:22" ht="24.75" customHeight="1" x14ac:dyDescent="0.2">
      <c r="B17" s="69"/>
      <c r="C17" s="196" t="s">
        <v>163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69"/>
      <c r="T17" s="69"/>
      <c r="U17" s="96"/>
      <c r="V17" s="84"/>
    </row>
    <row r="18" spans="2:22" x14ac:dyDescent="0.2">
      <c r="B18" s="69" t="s">
        <v>108</v>
      </c>
      <c r="C18" s="5" t="s">
        <v>109</v>
      </c>
      <c r="D18" s="69"/>
      <c r="E18" s="3"/>
      <c r="F18" s="3"/>
      <c r="G18" s="3"/>
      <c r="H18" s="3"/>
      <c r="I18" s="32"/>
      <c r="J18" s="3"/>
      <c r="K18" s="32"/>
      <c r="L18" s="32"/>
      <c r="M18" s="7"/>
      <c r="N18" s="3"/>
      <c r="O18" s="3"/>
      <c r="P18" s="3"/>
      <c r="Q18" s="3"/>
      <c r="R18" s="3"/>
      <c r="S18" s="32"/>
      <c r="T18" s="69"/>
      <c r="U18" s="96"/>
      <c r="V18" s="84"/>
    </row>
    <row r="19" spans="2:22" x14ac:dyDescent="0.2">
      <c r="B19" s="69"/>
      <c r="C19" s="155" t="s">
        <v>119</v>
      </c>
      <c r="D19" s="69">
        <v>71.400000000000006</v>
      </c>
      <c r="E19" s="69">
        <v>70</v>
      </c>
      <c r="F19" s="69">
        <f>11*E19/100</f>
        <v>7.7</v>
      </c>
      <c r="G19" s="69">
        <f>23.9*E19/100</f>
        <v>16.73</v>
      </c>
      <c r="H19" s="69">
        <v>0</v>
      </c>
      <c r="I19" s="96">
        <f>261*E19/100</f>
        <v>182.7</v>
      </c>
      <c r="J19" s="69">
        <f>220*E19/100</f>
        <v>154</v>
      </c>
      <c r="K19" s="85">
        <f>35*E19/100</f>
        <v>24.5</v>
      </c>
      <c r="L19" s="85">
        <f>20*E19/100</f>
        <v>14</v>
      </c>
      <c r="M19" s="85">
        <f>159*E19/100</f>
        <v>111.3</v>
      </c>
      <c r="N19" s="69">
        <f>1.8*E19/100</f>
        <v>1.26</v>
      </c>
      <c r="O19" s="69">
        <v>0</v>
      </c>
      <c r="P19" s="69">
        <v>0</v>
      </c>
      <c r="Q19" s="69">
        <v>0</v>
      </c>
      <c r="R19" s="69">
        <v>0</v>
      </c>
      <c r="S19" s="96">
        <v>0</v>
      </c>
      <c r="T19" s="69"/>
      <c r="U19" s="96">
        <v>254.37</v>
      </c>
      <c r="V19" s="84">
        <f>D19*U19/1000</f>
        <v>18.162018</v>
      </c>
    </row>
    <row r="20" spans="2:22" x14ac:dyDescent="0.2">
      <c r="B20" s="144"/>
      <c r="C20" s="71" t="s">
        <v>77</v>
      </c>
      <c r="D20" s="21"/>
      <c r="E20" s="21"/>
      <c r="F20" s="21">
        <v>7.7</v>
      </c>
      <c r="G20" s="21">
        <v>16.73</v>
      </c>
      <c r="H20" s="21">
        <v>0</v>
      </c>
      <c r="I20" s="21">
        <v>182.7</v>
      </c>
      <c r="J20" s="21">
        <v>154</v>
      </c>
      <c r="K20" s="21">
        <v>24.5</v>
      </c>
      <c r="L20" s="21">
        <v>14</v>
      </c>
      <c r="M20" s="21">
        <v>111.3</v>
      </c>
      <c r="N20" s="21">
        <v>1.26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69"/>
      <c r="U20" s="96"/>
      <c r="V20" s="21">
        <f>V19</f>
        <v>18.162018</v>
      </c>
    </row>
    <row r="21" spans="2:22" x14ac:dyDescent="0.2">
      <c r="B21" s="136" t="s">
        <v>98</v>
      </c>
      <c r="C21" s="71" t="s">
        <v>99</v>
      </c>
      <c r="D21" s="72"/>
      <c r="E21" s="73">
        <v>50</v>
      </c>
      <c r="F21" s="29"/>
      <c r="G21" s="74"/>
      <c r="H21" s="74"/>
      <c r="I21" s="74"/>
      <c r="J21" s="75"/>
      <c r="K21" s="74"/>
      <c r="L21" s="74"/>
      <c r="M21" s="75"/>
      <c r="N21" s="74"/>
      <c r="O21" s="74"/>
      <c r="P21" s="74"/>
      <c r="Q21" s="74"/>
      <c r="R21" s="74"/>
      <c r="S21" s="74"/>
      <c r="T21" s="26"/>
      <c r="U21" s="32"/>
      <c r="V21" s="84"/>
    </row>
    <row r="22" spans="2:22" s="26" customFormat="1" x14ac:dyDescent="0.2">
      <c r="B22" s="136"/>
      <c r="C22" s="30" t="s">
        <v>100</v>
      </c>
      <c r="D22" s="31">
        <v>50</v>
      </c>
      <c r="E22" s="31">
        <v>50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U22" s="96">
        <v>0</v>
      </c>
      <c r="V22" s="84">
        <f t="shared" ref="V22:V30" si="2">D22*U22/1000</f>
        <v>0</v>
      </c>
    </row>
    <row r="23" spans="2:22" ht="15.75" customHeight="1" x14ac:dyDescent="0.2">
      <c r="B23" s="136"/>
      <c r="C23" s="30" t="s">
        <v>34</v>
      </c>
      <c r="D23" s="31">
        <v>2.5</v>
      </c>
      <c r="E23" s="31">
        <v>2.5</v>
      </c>
      <c r="F23" s="31">
        <v>0</v>
      </c>
      <c r="G23" s="31">
        <v>2.5</v>
      </c>
      <c r="H23" s="31">
        <v>0</v>
      </c>
      <c r="I23" s="31">
        <v>22.4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26"/>
      <c r="U23" s="96">
        <v>83.43</v>
      </c>
      <c r="V23" s="84">
        <f t="shared" si="2"/>
        <v>0.20857500000000001</v>
      </c>
    </row>
    <row r="24" spans="2:22" ht="27.75" customHeight="1" x14ac:dyDescent="0.2">
      <c r="B24" s="136"/>
      <c r="C24" s="30" t="s">
        <v>38</v>
      </c>
      <c r="D24" s="31">
        <v>2.5</v>
      </c>
      <c r="E24" s="31">
        <v>2.5</v>
      </c>
      <c r="F24" s="31">
        <v>0.3</v>
      </c>
      <c r="G24" s="31">
        <v>0</v>
      </c>
      <c r="H24" s="31">
        <v>1.7</v>
      </c>
      <c r="I24" s="31">
        <v>8.4</v>
      </c>
      <c r="J24" s="31">
        <v>4.4000000000000004</v>
      </c>
      <c r="K24" s="31">
        <v>0.6</v>
      </c>
      <c r="L24" s="31">
        <v>1.1000000000000001</v>
      </c>
      <c r="M24" s="31">
        <v>2.9</v>
      </c>
      <c r="N24" s="31">
        <v>0.05</v>
      </c>
      <c r="O24" s="31">
        <v>0</v>
      </c>
      <c r="P24" s="31">
        <v>0</v>
      </c>
      <c r="Q24" s="31">
        <v>0</v>
      </c>
      <c r="R24" s="31">
        <v>0.03</v>
      </c>
      <c r="S24" s="31">
        <v>0</v>
      </c>
      <c r="T24" s="26"/>
      <c r="U24" s="96">
        <v>27.31</v>
      </c>
      <c r="V24" s="84">
        <f t="shared" si="2"/>
        <v>6.8274999999999988E-2</v>
      </c>
    </row>
    <row r="25" spans="2:22" ht="15.75" customHeight="1" x14ac:dyDescent="0.2">
      <c r="B25" s="136"/>
      <c r="C25" s="30" t="s">
        <v>36</v>
      </c>
      <c r="D25" s="31">
        <v>2</v>
      </c>
      <c r="E25" s="31">
        <v>2</v>
      </c>
      <c r="F25" s="31">
        <v>0.1</v>
      </c>
      <c r="G25" s="31">
        <v>0</v>
      </c>
      <c r="H25" s="31">
        <v>0.4</v>
      </c>
      <c r="I25" s="31">
        <v>2</v>
      </c>
      <c r="J25" s="31">
        <v>17.5</v>
      </c>
      <c r="K25" s="31">
        <v>0.4</v>
      </c>
      <c r="L25" s="31">
        <v>1</v>
      </c>
      <c r="M25" s="31">
        <v>1.36</v>
      </c>
      <c r="N25" s="31">
        <v>0.05</v>
      </c>
      <c r="O25" s="31">
        <v>0</v>
      </c>
      <c r="P25" s="31">
        <v>0</v>
      </c>
      <c r="Q25" s="31">
        <v>0</v>
      </c>
      <c r="R25" s="31">
        <v>0.04</v>
      </c>
      <c r="S25" s="31">
        <v>0.9</v>
      </c>
      <c r="T25" s="26"/>
      <c r="U25" s="96">
        <v>120</v>
      </c>
      <c r="V25" s="84">
        <f t="shared" si="2"/>
        <v>0.24</v>
      </c>
    </row>
    <row r="26" spans="2:22" s="26" customFormat="1" x14ac:dyDescent="0.2">
      <c r="B26" s="136"/>
      <c r="C26" s="30" t="s">
        <v>32</v>
      </c>
      <c r="D26" s="31">
        <v>5</v>
      </c>
      <c r="E26" s="31">
        <v>4</v>
      </c>
      <c r="F26" s="31">
        <v>0.06</v>
      </c>
      <c r="G26" s="31">
        <v>0</v>
      </c>
      <c r="H26" s="31">
        <v>0.28000000000000003</v>
      </c>
      <c r="I26" s="31">
        <v>1.4</v>
      </c>
      <c r="J26" s="31">
        <v>8</v>
      </c>
      <c r="K26" s="31">
        <v>1</v>
      </c>
      <c r="L26" s="31">
        <v>1.5</v>
      </c>
      <c r="M26" s="31">
        <v>2.2000000000000002</v>
      </c>
      <c r="N26" s="31">
        <v>0</v>
      </c>
      <c r="O26" s="31">
        <v>0</v>
      </c>
      <c r="P26" s="31">
        <v>0</v>
      </c>
      <c r="Q26" s="31">
        <v>0</v>
      </c>
      <c r="R26" s="31">
        <v>0.04</v>
      </c>
      <c r="S26" s="31">
        <v>0.2</v>
      </c>
      <c r="U26" s="96">
        <v>32.71</v>
      </c>
      <c r="V26" s="84">
        <f t="shared" si="2"/>
        <v>0.16355</v>
      </c>
    </row>
    <row r="27" spans="2:22" s="26" customFormat="1" x14ac:dyDescent="0.2">
      <c r="B27" s="136"/>
      <c r="C27" s="30" t="s">
        <v>33</v>
      </c>
      <c r="D27" s="31">
        <v>1.2</v>
      </c>
      <c r="E27" s="31">
        <v>1</v>
      </c>
      <c r="F27" s="31">
        <v>0.01</v>
      </c>
      <c r="G27" s="31">
        <v>0</v>
      </c>
      <c r="H27" s="31">
        <v>0.08</v>
      </c>
      <c r="I27" s="31">
        <v>0.41</v>
      </c>
      <c r="J27" s="31">
        <v>1.75</v>
      </c>
      <c r="K27" s="31">
        <v>0.31</v>
      </c>
      <c r="L27" s="31">
        <v>0.14000000000000001</v>
      </c>
      <c r="M27" s="31">
        <v>0.57999999999999996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0.1</v>
      </c>
      <c r="U27" s="96">
        <v>29.62</v>
      </c>
      <c r="V27" s="84">
        <f t="shared" si="2"/>
        <v>3.5543999999999999E-2</v>
      </c>
    </row>
    <row r="28" spans="2:22" s="26" customFormat="1" x14ac:dyDescent="0.2">
      <c r="B28" s="136"/>
      <c r="C28" s="30" t="s">
        <v>30</v>
      </c>
      <c r="D28" s="31">
        <v>0.75</v>
      </c>
      <c r="E28" s="31">
        <v>0.75</v>
      </c>
      <c r="F28" s="31">
        <v>0</v>
      </c>
      <c r="G28" s="31">
        <v>0</v>
      </c>
      <c r="H28" s="31">
        <v>0.7</v>
      </c>
      <c r="I28" s="31">
        <v>2.8</v>
      </c>
      <c r="J28" s="31">
        <v>0.02</v>
      </c>
      <c r="K28" s="31">
        <v>0.01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U28" s="96">
        <v>50.97</v>
      </c>
      <c r="V28" s="84">
        <f t="shared" si="2"/>
        <v>3.8227499999999998E-2</v>
      </c>
    </row>
    <row r="29" spans="2:22" s="26" customFormat="1" x14ac:dyDescent="0.2">
      <c r="B29" s="136"/>
      <c r="C29" s="30" t="s">
        <v>46</v>
      </c>
      <c r="D29" s="31">
        <v>0.5</v>
      </c>
      <c r="E29" s="31">
        <v>0.5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U29" s="96">
        <v>11.63</v>
      </c>
      <c r="V29" s="84">
        <f t="shared" si="2"/>
        <v>5.8150000000000007E-3</v>
      </c>
    </row>
    <row r="30" spans="2:22" s="26" customFormat="1" x14ac:dyDescent="0.2">
      <c r="B30" s="136"/>
      <c r="C30" s="76" t="s">
        <v>39</v>
      </c>
      <c r="D30" s="34">
        <v>0.02</v>
      </c>
      <c r="E30" s="34">
        <v>0.02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U30" s="96">
        <v>300</v>
      </c>
      <c r="V30" s="84">
        <f t="shared" si="2"/>
        <v>6.0000000000000001E-3</v>
      </c>
    </row>
    <row r="31" spans="2:22" s="26" customFormat="1" x14ac:dyDescent="0.2">
      <c r="B31" s="136"/>
      <c r="C31" s="71" t="s">
        <v>77</v>
      </c>
      <c r="D31" s="79"/>
      <c r="E31" s="79"/>
      <c r="F31" s="79">
        <f>SUM(F22:F30)</f>
        <v>0.47000000000000003</v>
      </c>
      <c r="G31" s="79">
        <f t="shared" ref="G31:S31" si="3">SUM(G22:G30)</f>
        <v>2.5</v>
      </c>
      <c r="H31" s="79">
        <f t="shared" si="3"/>
        <v>3.16</v>
      </c>
      <c r="I31" s="79">
        <f t="shared" si="3"/>
        <v>37.409999999999989</v>
      </c>
      <c r="J31" s="79">
        <f t="shared" si="3"/>
        <v>31.669999999999998</v>
      </c>
      <c r="K31" s="79">
        <f t="shared" si="3"/>
        <v>2.3199999999999998</v>
      </c>
      <c r="L31" s="79">
        <f t="shared" si="3"/>
        <v>3.74</v>
      </c>
      <c r="M31" s="79">
        <f t="shared" si="3"/>
        <v>7.04</v>
      </c>
      <c r="N31" s="79">
        <f t="shared" si="3"/>
        <v>0.1</v>
      </c>
      <c r="O31" s="79">
        <f t="shared" si="3"/>
        <v>0</v>
      </c>
      <c r="P31" s="79">
        <f t="shared" si="3"/>
        <v>0</v>
      </c>
      <c r="Q31" s="79">
        <f t="shared" si="3"/>
        <v>0</v>
      </c>
      <c r="R31" s="79">
        <f t="shared" si="3"/>
        <v>0.11000000000000001</v>
      </c>
      <c r="S31" s="79">
        <f t="shared" si="3"/>
        <v>1.2000000000000002</v>
      </c>
      <c r="U31" s="96"/>
      <c r="V31" s="21">
        <f>SUM(V22:V30)</f>
        <v>0.76598650000000001</v>
      </c>
    </row>
    <row r="32" spans="2:22" s="26" customFormat="1" ht="25.5" x14ac:dyDescent="0.2">
      <c r="B32" s="31" t="s">
        <v>70</v>
      </c>
      <c r="C32" s="28" t="s">
        <v>71</v>
      </c>
      <c r="D32" s="31"/>
      <c r="E32" s="29">
        <v>150</v>
      </c>
      <c r="F32" s="29"/>
      <c r="G32" s="29"/>
      <c r="H32" s="59"/>
      <c r="I32" s="29"/>
      <c r="J32" s="59"/>
      <c r="K32" s="49"/>
      <c r="L32" s="29"/>
      <c r="M32" s="29"/>
      <c r="N32" s="29"/>
      <c r="O32" s="29"/>
      <c r="P32" s="29"/>
      <c r="Q32" s="29"/>
      <c r="R32" s="29"/>
      <c r="S32" s="29"/>
      <c r="T32" s="69"/>
      <c r="U32" s="96"/>
      <c r="V32" s="84"/>
    </row>
    <row r="33" spans="2:22" s="26" customFormat="1" x14ac:dyDescent="0.2">
      <c r="B33" s="31"/>
      <c r="C33" s="30" t="s">
        <v>72</v>
      </c>
      <c r="D33" s="31">
        <v>50</v>
      </c>
      <c r="E33" s="31">
        <v>50</v>
      </c>
      <c r="F33" s="31">
        <v>6.3</v>
      </c>
      <c r="G33" s="31">
        <v>0.67</v>
      </c>
      <c r="H33" s="33">
        <v>42.5</v>
      </c>
      <c r="I33" s="31">
        <v>205.57</v>
      </c>
      <c r="J33" s="60">
        <v>75.64</v>
      </c>
      <c r="K33" s="60">
        <v>10.98</v>
      </c>
      <c r="L33" s="31">
        <v>9.76</v>
      </c>
      <c r="M33" s="31">
        <v>53</v>
      </c>
      <c r="N33" s="31">
        <v>0.73</v>
      </c>
      <c r="O33" s="31">
        <v>0</v>
      </c>
      <c r="P33" s="31">
        <v>0.1</v>
      </c>
      <c r="Q33" s="31">
        <v>0.04</v>
      </c>
      <c r="R33" s="31">
        <v>0.74</v>
      </c>
      <c r="S33" s="31">
        <v>0</v>
      </c>
      <c r="T33" s="69"/>
      <c r="U33" s="96">
        <v>44.89</v>
      </c>
      <c r="V33" s="84">
        <f>D33*U33/1000</f>
        <v>2.2444999999999999</v>
      </c>
    </row>
    <row r="34" spans="2:22" x14ac:dyDescent="0.2">
      <c r="B34" s="31"/>
      <c r="C34" s="30" t="s">
        <v>46</v>
      </c>
      <c r="D34" s="31">
        <v>1.6</v>
      </c>
      <c r="E34" s="31">
        <v>1.6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69"/>
      <c r="U34" s="96">
        <v>11.63</v>
      </c>
      <c r="V34" s="84">
        <f>D34*U34/1000</f>
        <v>1.8608E-2</v>
      </c>
    </row>
    <row r="35" spans="2:22" x14ac:dyDescent="0.2">
      <c r="B35" s="31"/>
      <c r="C35" s="30" t="s">
        <v>37</v>
      </c>
      <c r="D35" s="31">
        <v>5.3</v>
      </c>
      <c r="E35" s="31">
        <v>5.3</v>
      </c>
      <c r="F35" s="69">
        <f>0.8*E35/100</f>
        <v>4.24E-2</v>
      </c>
      <c r="G35" s="69">
        <f>72.5*E35/100</f>
        <v>3.8424999999999998</v>
      </c>
      <c r="H35" s="69">
        <f>1.3*E35/100</f>
        <v>6.8900000000000003E-2</v>
      </c>
      <c r="I35" s="69">
        <f>661*E35/100</f>
        <v>35.032999999999994</v>
      </c>
      <c r="J35" s="86">
        <f>23*E35/100</f>
        <v>1.2189999999999999</v>
      </c>
      <c r="K35" s="69">
        <f>22*E35/100</f>
        <v>1.1659999999999999</v>
      </c>
      <c r="L35" s="69">
        <f>3*E35/100</f>
        <v>0.15899999999999997</v>
      </c>
      <c r="M35" s="85">
        <f>19*E35/100</f>
        <v>1.0070000000000001</v>
      </c>
      <c r="N35" s="69">
        <f>0.2*E35/100</f>
        <v>1.06E-2</v>
      </c>
      <c r="O35" s="69">
        <f>0.5*E35/100</f>
        <v>2.6499999999999999E-2</v>
      </c>
      <c r="P35" s="69">
        <f>0</f>
        <v>0</v>
      </c>
      <c r="Q35" s="96">
        <f>0.01*E35/1000</f>
        <v>5.3000000000000001E-5</v>
      </c>
      <c r="R35" s="69">
        <f>0.1*E35/100</f>
        <v>5.3E-3</v>
      </c>
      <c r="S35" s="69">
        <f>0</f>
        <v>0</v>
      </c>
      <c r="T35" s="69"/>
      <c r="U35" s="96">
        <v>337.78</v>
      </c>
      <c r="V35" s="84">
        <f>D35*U35/1000</f>
        <v>1.7902339999999997</v>
      </c>
    </row>
    <row r="36" spans="2:22" x14ac:dyDescent="0.2">
      <c r="B36" s="31"/>
      <c r="C36" s="28" t="s">
        <v>77</v>
      </c>
      <c r="D36" s="29"/>
      <c r="E36" s="29"/>
      <c r="F36" s="29">
        <f>SUM(F33:F35)</f>
        <v>6.3423999999999996</v>
      </c>
      <c r="G36" s="29">
        <f t="shared" ref="G36:T36" si="4">SUM(G33:G35)</f>
        <v>4.5125000000000002</v>
      </c>
      <c r="H36" s="29">
        <f t="shared" si="4"/>
        <v>42.568899999999999</v>
      </c>
      <c r="I36" s="29">
        <f t="shared" si="4"/>
        <v>240.60299999999998</v>
      </c>
      <c r="J36" s="29">
        <f t="shared" si="4"/>
        <v>76.858999999999995</v>
      </c>
      <c r="K36" s="29">
        <f t="shared" si="4"/>
        <v>12.146000000000001</v>
      </c>
      <c r="L36" s="29">
        <f t="shared" si="4"/>
        <v>9.9190000000000005</v>
      </c>
      <c r="M36" s="29">
        <f t="shared" si="4"/>
        <v>54.006999999999998</v>
      </c>
      <c r="N36" s="29">
        <f t="shared" si="4"/>
        <v>0.74060000000000004</v>
      </c>
      <c r="O36" s="29">
        <f t="shared" si="4"/>
        <v>2.6499999999999999E-2</v>
      </c>
      <c r="P36" s="29">
        <f t="shared" si="4"/>
        <v>0.1</v>
      </c>
      <c r="Q36" s="29">
        <f t="shared" si="4"/>
        <v>4.0052999999999998E-2</v>
      </c>
      <c r="R36" s="29">
        <f t="shared" si="4"/>
        <v>0.74529999999999996</v>
      </c>
      <c r="S36" s="29">
        <f t="shared" si="4"/>
        <v>0</v>
      </c>
      <c r="T36" s="29">
        <f t="shared" si="4"/>
        <v>0</v>
      </c>
      <c r="U36" s="95"/>
      <c r="V36" s="21">
        <f>SUM(V33:V35)</f>
        <v>4.0533419999999998</v>
      </c>
    </row>
    <row r="37" spans="2:22" x14ac:dyDescent="0.2">
      <c r="B37" s="69" t="s">
        <v>73</v>
      </c>
      <c r="C37" s="5" t="s">
        <v>74</v>
      </c>
      <c r="D37" s="313" t="s">
        <v>75</v>
      </c>
      <c r="E37" s="314"/>
      <c r="F37" s="4"/>
      <c r="G37" s="4"/>
      <c r="H37" s="4"/>
      <c r="I37" s="4"/>
      <c r="J37" s="11"/>
      <c r="K37" s="4"/>
      <c r="L37" s="4"/>
      <c r="M37" s="11"/>
      <c r="N37" s="4"/>
      <c r="O37" s="4"/>
      <c r="P37" s="4"/>
      <c r="Q37" s="4"/>
      <c r="R37" s="51"/>
      <c r="S37" s="4"/>
      <c r="T37" s="69"/>
      <c r="U37" s="96"/>
      <c r="V37" s="84"/>
    </row>
    <row r="38" spans="2:22" x14ac:dyDescent="0.2">
      <c r="B38" s="69"/>
      <c r="C38" s="65" t="s">
        <v>40</v>
      </c>
      <c r="D38" s="159">
        <v>50</v>
      </c>
      <c r="E38" s="159">
        <v>50</v>
      </c>
      <c r="F38" s="69">
        <v>0.1</v>
      </c>
      <c r="G38" s="69">
        <v>0</v>
      </c>
      <c r="H38" s="69">
        <v>0</v>
      </c>
      <c r="I38" s="69">
        <v>0.8</v>
      </c>
      <c r="J38" s="85">
        <v>12.4</v>
      </c>
      <c r="K38" s="69">
        <v>2.5</v>
      </c>
      <c r="L38" s="69">
        <v>2.2000000000000002</v>
      </c>
      <c r="M38" s="85">
        <v>4.12</v>
      </c>
      <c r="N38" s="69">
        <v>0.4</v>
      </c>
      <c r="O38" s="69">
        <v>0</v>
      </c>
      <c r="P38" s="69">
        <v>0</v>
      </c>
      <c r="Q38" s="69">
        <v>0</v>
      </c>
      <c r="R38" s="70">
        <v>0</v>
      </c>
      <c r="S38" s="69">
        <v>0</v>
      </c>
      <c r="T38" s="69"/>
      <c r="U38" s="96">
        <v>412</v>
      </c>
      <c r="V38" s="84">
        <f>1*U38/1000</f>
        <v>0.41199999999999998</v>
      </c>
    </row>
    <row r="39" spans="2:22" x14ac:dyDescent="0.2">
      <c r="B39" s="69"/>
      <c r="C39" s="65" t="s">
        <v>30</v>
      </c>
      <c r="D39" s="159">
        <v>15</v>
      </c>
      <c r="E39" s="159">
        <v>15</v>
      </c>
      <c r="F39" s="69">
        <v>0</v>
      </c>
      <c r="G39" s="69">
        <v>0</v>
      </c>
      <c r="H39" s="69">
        <v>15</v>
      </c>
      <c r="I39" s="69">
        <v>56.9</v>
      </c>
      <c r="J39" s="85">
        <v>0.5</v>
      </c>
      <c r="K39" s="69">
        <v>0.4</v>
      </c>
      <c r="L39" s="69">
        <v>0</v>
      </c>
      <c r="M39" s="85">
        <v>0</v>
      </c>
      <c r="N39" s="69">
        <v>0</v>
      </c>
      <c r="O39" s="69">
        <v>0</v>
      </c>
      <c r="P39" s="69">
        <v>0</v>
      </c>
      <c r="Q39" s="69">
        <v>0</v>
      </c>
      <c r="R39" s="70">
        <v>0</v>
      </c>
      <c r="S39" s="69">
        <v>0</v>
      </c>
      <c r="T39" s="69"/>
      <c r="U39" s="96">
        <v>35.159999999999997</v>
      </c>
      <c r="V39" s="84">
        <f t="shared" ref="V39:V40" si="5">D39*U39/1000</f>
        <v>0.52739999999999998</v>
      </c>
    </row>
    <row r="40" spans="2:22" s="26" customFormat="1" x14ac:dyDescent="0.2">
      <c r="B40" s="69"/>
      <c r="C40" s="65" t="s">
        <v>35</v>
      </c>
      <c r="D40" s="159">
        <v>150</v>
      </c>
      <c r="E40" s="159">
        <v>150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70">
        <v>0</v>
      </c>
      <c r="S40" s="69">
        <v>0</v>
      </c>
      <c r="T40" s="69"/>
      <c r="U40" s="96">
        <v>0</v>
      </c>
      <c r="V40" s="84">
        <f t="shared" si="5"/>
        <v>0</v>
      </c>
    </row>
    <row r="41" spans="2:22" s="26" customFormat="1" x14ac:dyDescent="0.2">
      <c r="B41" s="69"/>
      <c r="C41" s="39" t="s">
        <v>47</v>
      </c>
      <c r="D41" s="196"/>
      <c r="E41" s="196"/>
      <c r="F41" s="3">
        <f t="shared" ref="F41:S41" si="6">SUM(F38:F40)</f>
        <v>0.1</v>
      </c>
      <c r="G41" s="3">
        <f t="shared" si="6"/>
        <v>0</v>
      </c>
      <c r="H41" s="3">
        <f t="shared" si="6"/>
        <v>15</v>
      </c>
      <c r="I41" s="3">
        <f t="shared" si="6"/>
        <v>57.699999999999996</v>
      </c>
      <c r="J41" s="3">
        <f t="shared" si="6"/>
        <v>12.9</v>
      </c>
      <c r="K41" s="3">
        <f t="shared" si="6"/>
        <v>2.9</v>
      </c>
      <c r="L41" s="3">
        <f t="shared" si="6"/>
        <v>2.2000000000000002</v>
      </c>
      <c r="M41" s="3">
        <f t="shared" si="6"/>
        <v>4.12</v>
      </c>
      <c r="N41" s="3">
        <f t="shared" si="6"/>
        <v>0.4</v>
      </c>
      <c r="O41" s="3">
        <f t="shared" si="6"/>
        <v>0</v>
      </c>
      <c r="P41" s="3">
        <f t="shared" si="6"/>
        <v>0</v>
      </c>
      <c r="Q41" s="3">
        <f t="shared" si="6"/>
        <v>0</v>
      </c>
      <c r="R41" s="50">
        <f t="shared" si="6"/>
        <v>0</v>
      </c>
      <c r="S41" s="3">
        <f t="shared" si="6"/>
        <v>0</v>
      </c>
      <c r="T41" s="3"/>
      <c r="U41" s="32"/>
      <c r="V41" s="21">
        <f>SUM(V38:V40)</f>
        <v>0.93940000000000001</v>
      </c>
    </row>
    <row r="42" spans="2:22" s="26" customFormat="1" ht="25.5" x14ac:dyDescent="0.2">
      <c r="B42" s="69" t="s">
        <v>24</v>
      </c>
      <c r="C42" s="5" t="s">
        <v>105</v>
      </c>
      <c r="D42" s="3">
        <v>30</v>
      </c>
      <c r="E42" s="3">
        <v>30</v>
      </c>
      <c r="F42" s="69">
        <f>7.7*E42/100</f>
        <v>2.31</v>
      </c>
      <c r="G42" s="69">
        <f>3*E42/100</f>
        <v>0.9</v>
      </c>
      <c r="H42" s="69">
        <f>49.8*E42/100</f>
        <v>14.94</v>
      </c>
      <c r="I42" s="69">
        <f>262*E42/100</f>
        <v>78.599999999999994</v>
      </c>
      <c r="J42" s="85">
        <f>127*E42/100</f>
        <v>38.1</v>
      </c>
      <c r="K42" s="69">
        <f>26*E42/100</f>
        <v>7.8</v>
      </c>
      <c r="L42" s="69">
        <f>35*E42/100</f>
        <v>10.5</v>
      </c>
      <c r="M42" s="85">
        <f>83*E42/100</f>
        <v>24.9</v>
      </c>
      <c r="N42" s="69">
        <f>1.6*E42/100</f>
        <v>0.48</v>
      </c>
      <c r="O42" s="69">
        <f>0</f>
        <v>0</v>
      </c>
      <c r="P42" s="69">
        <f>0.16*E42/100</f>
        <v>4.8000000000000001E-2</v>
      </c>
      <c r="Q42" s="69">
        <f>0.08*E42/100</f>
        <v>2.4E-2</v>
      </c>
      <c r="R42" s="69">
        <f>1.54*E42/100</f>
        <v>0.46200000000000002</v>
      </c>
      <c r="S42" s="69">
        <v>0</v>
      </c>
      <c r="T42" s="3"/>
      <c r="U42" s="32">
        <v>29.292000000000002</v>
      </c>
      <c r="V42" s="84">
        <f>E42*U42/1000</f>
        <v>0.87875999999999999</v>
      </c>
    </row>
    <row r="43" spans="2:22" x14ac:dyDescent="0.2">
      <c r="B43" s="169"/>
      <c r="C43" s="3" t="s">
        <v>164</v>
      </c>
      <c r="D43" s="3"/>
      <c r="E43" s="21"/>
      <c r="F43" s="21">
        <v>29.312000000000001</v>
      </c>
      <c r="G43" s="21">
        <v>38.728999999999999</v>
      </c>
      <c r="H43" s="21">
        <v>109.12</v>
      </c>
      <c r="I43" s="21">
        <v>820.34</v>
      </c>
      <c r="J43" s="21">
        <v>736.51900000000001</v>
      </c>
      <c r="K43" s="21">
        <v>118.506</v>
      </c>
      <c r="L43" s="21">
        <v>138.61000000000001</v>
      </c>
      <c r="M43" s="21">
        <v>249.54</v>
      </c>
      <c r="N43" s="21">
        <v>15.58</v>
      </c>
      <c r="O43" s="21">
        <v>6.03</v>
      </c>
      <c r="P43" s="21">
        <v>6.6619999999999999</v>
      </c>
      <c r="Q43" s="21">
        <v>6.4269999999999996</v>
      </c>
      <c r="R43" s="21">
        <v>12.74</v>
      </c>
      <c r="S43" s="21">
        <v>27</v>
      </c>
      <c r="T43" s="147"/>
      <c r="U43" s="52"/>
      <c r="V43" s="258">
        <v>26.03</v>
      </c>
    </row>
    <row r="44" spans="2:22" x14ac:dyDescent="0.2">
      <c r="B44" s="69"/>
      <c r="C44" s="196" t="s">
        <v>50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  <c r="S44" s="69"/>
      <c r="T44" s="69"/>
      <c r="U44" s="96"/>
      <c r="V44" s="84"/>
    </row>
    <row r="45" spans="2:22" x14ac:dyDescent="0.2">
      <c r="B45" s="69"/>
      <c r="C45" s="196" t="s">
        <v>163</v>
      </c>
      <c r="D45" s="159"/>
      <c r="E45" s="6"/>
      <c r="F45" s="4"/>
      <c r="G45" s="4"/>
      <c r="H45" s="4"/>
      <c r="I45" s="4"/>
      <c r="J45" s="10"/>
      <c r="K45" s="4"/>
      <c r="L45" s="4"/>
      <c r="M45" s="11"/>
      <c r="N45" s="4"/>
      <c r="O45" s="4"/>
      <c r="P45" s="4"/>
      <c r="Q45" s="4"/>
      <c r="R45" s="51"/>
      <c r="S45" s="4"/>
      <c r="T45" s="69"/>
      <c r="U45" s="96"/>
      <c r="V45" s="84"/>
    </row>
    <row r="46" spans="2:22" ht="25.5" x14ac:dyDescent="0.2">
      <c r="B46" s="123" t="s">
        <v>130</v>
      </c>
      <c r="C46" s="5" t="s">
        <v>131</v>
      </c>
      <c r="D46" s="3"/>
      <c r="E46" s="3" t="s">
        <v>132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50"/>
      <c r="S46" s="3"/>
      <c r="T46" s="3"/>
      <c r="U46" s="32"/>
      <c r="V46" s="84"/>
    </row>
    <row r="47" spans="2:22" x14ac:dyDescent="0.2">
      <c r="B47" s="123"/>
      <c r="C47" s="69" t="s">
        <v>133</v>
      </c>
      <c r="D47" s="3">
        <v>196.8</v>
      </c>
      <c r="E47" s="3">
        <v>99.2</v>
      </c>
      <c r="F47" s="3">
        <v>19</v>
      </c>
      <c r="G47" s="3">
        <v>1.7712000000000001</v>
      </c>
      <c r="H47" s="3">
        <v>0</v>
      </c>
      <c r="I47" s="3">
        <v>141.696</v>
      </c>
      <c r="J47" s="3">
        <v>826.6</v>
      </c>
      <c r="K47" s="3">
        <v>78.7</v>
      </c>
      <c r="L47" s="3">
        <v>108.24</v>
      </c>
      <c r="M47" s="7">
        <v>472.3</v>
      </c>
      <c r="N47" s="3">
        <v>1.5744</v>
      </c>
      <c r="O47" s="3">
        <v>1.968E-2</v>
      </c>
      <c r="P47" s="3">
        <v>0.21648000000000001</v>
      </c>
      <c r="Q47" s="3">
        <v>0.21648000000000001</v>
      </c>
      <c r="R47" s="3">
        <v>2.5583999999999998</v>
      </c>
      <c r="S47" s="3">
        <v>0.98399999999999999</v>
      </c>
      <c r="T47" s="3">
        <v>87.81</v>
      </c>
      <c r="U47" s="32">
        <v>13.081008000000001</v>
      </c>
      <c r="V47" s="84"/>
    </row>
    <row r="48" spans="2:22" x14ac:dyDescent="0.2">
      <c r="B48" s="123"/>
      <c r="C48" s="184" t="s">
        <v>35</v>
      </c>
      <c r="D48" s="89">
        <v>30.4</v>
      </c>
      <c r="E48" s="89">
        <v>30.4</v>
      </c>
      <c r="F48" s="82">
        <v>0</v>
      </c>
      <c r="G48" s="82">
        <v>0</v>
      </c>
      <c r="H48" s="91">
        <v>0</v>
      </c>
      <c r="I48" s="82">
        <v>0</v>
      </c>
      <c r="J48" s="83">
        <v>0</v>
      </c>
      <c r="K48" s="83">
        <v>0</v>
      </c>
      <c r="L48" s="82">
        <v>0</v>
      </c>
      <c r="M48" s="83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69">
        <v>0</v>
      </c>
      <c r="U48" s="96">
        <v>0</v>
      </c>
      <c r="V48" s="84"/>
    </row>
    <row r="49" spans="2:22" x14ac:dyDescent="0.2">
      <c r="B49" s="123"/>
      <c r="C49" s="88" t="s">
        <v>32</v>
      </c>
      <c r="D49" s="89">
        <v>43.2</v>
      </c>
      <c r="E49" s="89">
        <v>33.6</v>
      </c>
      <c r="F49" s="69">
        <v>0.4</v>
      </c>
      <c r="G49" s="69">
        <v>0</v>
      </c>
      <c r="H49" s="69">
        <v>2.2999999999999998</v>
      </c>
      <c r="I49" s="69">
        <v>11.8</v>
      </c>
      <c r="J49" s="85">
        <v>63</v>
      </c>
      <c r="K49" s="69">
        <v>16</v>
      </c>
      <c r="L49" s="69">
        <v>12</v>
      </c>
      <c r="M49" s="85">
        <v>17.3</v>
      </c>
      <c r="N49" s="69">
        <v>0.4</v>
      </c>
      <c r="O49" s="69">
        <v>2.8</v>
      </c>
      <c r="P49" s="69">
        <v>0.02</v>
      </c>
      <c r="Q49" s="69">
        <v>0.02</v>
      </c>
      <c r="R49" s="69">
        <v>0.3</v>
      </c>
      <c r="S49" s="69">
        <v>1.6</v>
      </c>
      <c r="T49" s="69">
        <v>34.6</v>
      </c>
      <c r="U49" s="96">
        <v>1.49472</v>
      </c>
      <c r="V49" s="84"/>
    </row>
    <row r="50" spans="2:22" x14ac:dyDescent="0.2">
      <c r="B50" s="123"/>
      <c r="C50" s="88" t="s">
        <v>33</v>
      </c>
      <c r="D50" s="89">
        <v>19.2</v>
      </c>
      <c r="E50" s="89">
        <v>14.4</v>
      </c>
      <c r="F50" s="69">
        <v>0.2</v>
      </c>
      <c r="G50" s="69">
        <v>0</v>
      </c>
      <c r="H50" s="69">
        <v>1.2</v>
      </c>
      <c r="I50" s="69">
        <v>5.9</v>
      </c>
      <c r="J50" s="69">
        <v>23.6</v>
      </c>
      <c r="K50" s="69">
        <v>4.2</v>
      </c>
      <c r="L50" s="69">
        <v>1.9</v>
      </c>
      <c r="M50" s="69">
        <v>7.8</v>
      </c>
      <c r="N50" s="69">
        <v>0.1</v>
      </c>
      <c r="O50" s="69">
        <v>0</v>
      </c>
      <c r="P50" s="69">
        <v>0</v>
      </c>
      <c r="Q50" s="69">
        <v>0</v>
      </c>
      <c r="R50" s="69">
        <v>0.03</v>
      </c>
      <c r="S50" s="69">
        <v>1.35</v>
      </c>
      <c r="T50" s="69">
        <v>34.229999999999997</v>
      </c>
      <c r="U50" s="96">
        <v>0.65721600000000002</v>
      </c>
      <c r="V50" s="84"/>
    </row>
    <row r="51" spans="2:22" x14ac:dyDescent="0.2">
      <c r="B51" s="123"/>
      <c r="C51" s="88" t="s">
        <v>36</v>
      </c>
      <c r="D51" s="89">
        <v>6.4</v>
      </c>
      <c r="E51" s="89">
        <v>6.4</v>
      </c>
      <c r="F51" s="69">
        <v>0.3</v>
      </c>
      <c r="G51" s="69">
        <v>0</v>
      </c>
      <c r="H51" s="69">
        <v>1.2</v>
      </c>
      <c r="I51" s="69">
        <v>6.5</v>
      </c>
      <c r="J51" s="69">
        <v>52.7</v>
      </c>
      <c r="K51" s="69">
        <v>4.7</v>
      </c>
      <c r="L51" s="69">
        <v>1.8</v>
      </c>
      <c r="M51" s="69">
        <v>4</v>
      </c>
      <c r="N51" s="69">
        <v>0.14000000000000001</v>
      </c>
      <c r="O51" s="69">
        <v>0.12</v>
      </c>
      <c r="P51" s="69">
        <v>0</v>
      </c>
      <c r="Q51" s="69">
        <v>0</v>
      </c>
      <c r="R51" s="69">
        <v>0.05</v>
      </c>
      <c r="S51" s="69">
        <v>2.7</v>
      </c>
      <c r="T51" s="69">
        <v>176.53</v>
      </c>
      <c r="U51" s="96">
        <v>1.1297919999999999</v>
      </c>
      <c r="V51" s="84"/>
    </row>
    <row r="52" spans="2:22" ht="25.5" x14ac:dyDescent="0.2">
      <c r="B52" s="123"/>
      <c r="C52" s="185" t="s">
        <v>34</v>
      </c>
      <c r="D52" s="89">
        <v>8</v>
      </c>
      <c r="E52" s="89">
        <v>8</v>
      </c>
      <c r="F52" s="69">
        <v>0</v>
      </c>
      <c r="G52" s="69">
        <v>8</v>
      </c>
      <c r="H52" s="69">
        <v>0</v>
      </c>
      <c r="I52" s="69">
        <v>72</v>
      </c>
      <c r="J52" s="86">
        <v>0</v>
      </c>
      <c r="K52" s="69">
        <v>0</v>
      </c>
      <c r="L52" s="69">
        <v>0</v>
      </c>
      <c r="M52" s="85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70.400000000000006</v>
      </c>
      <c r="U52" s="96">
        <v>0.56320000000000003</v>
      </c>
      <c r="V52" s="84"/>
    </row>
    <row r="53" spans="2:22" x14ac:dyDescent="0.2">
      <c r="B53" s="123"/>
      <c r="C53" s="186" t="s">
        <v>30</v>
      </c>
      <c r="D53" s="89">
        <v>3.2</v>
      </c>
      <c r="E53" s="89">
        <v>3.2</v>
      </c>
      <c r="F53" s="69">
        <v>0</v>
      </c>
      <c r="G53" s="69">
        <v>0</v>
      </c>
      <c r="H53" s="69">
        <v>3.1</v>
      </c>
      <c r="I53" s="69">
        <v>12.1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35.159999999999997</v>
      </c>
      <c r="U53" s="96">
        <v>0.112512</v>
      </c>
      <c r="V53" s="84"/>
    </row>
    <row r="54" spans="2:22" x14ac:dyDescent="0.2">
      <c r="B54" s="123"/>
      <c r="C54" s="185" t="s">
        <v>46</v>
      </c>
      <c r="D54" s="89">
        <v>2</v>
      </c>
      <c r="E54" s="89">
        <v>2</v>
      </c>
      <c r="F54" s="69">
        <v>0</v>
      </c>
      <c r="G54" s="69">
        <v>0</v>
      </c>
      <c r="H54" s="69">
        <v>0</v>
      </c>
      <c r="I54" s="69">
        <v>0</v>
      </c>
      <c r="J54" s="86">
        <v>0</v>
      </c>
      <c r="K54" s="69">
        <v>0</v>
      </c>
      <c r="L54" s="69">
        <v>0</v>
      </c>
      <c r="M54" s="87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11.13</v>
      </c>
      <c r="U54" s="96">
        <v>2.2259999999999999E-2</v>
      </c>
      <c r="V54" s="84"/>
    </row>
    <row r="55" spans="2:22" x14ac:dyDescent="0.2">
      <c r="B55" s="123"/>
      <c r="C55" s="185" t="s">
        <v>39</v>
      </c>
      <c r="D55" s="187">
        <v>0.01</v>
      </c>
      <c r="E55" s="187">
        <v>0.01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69">
        <v>300</v>
      </c>
      <c r="U55" s="96">
        <v>3.0000000000000001E-3</v>
      </c>
      <c r="V55" s="84"/>
    </row>
    <row r="56" spans="2:22" x14ac:dyDescent="0.2">
      <c r="B56" s="123"/>
      <c r="C56" s="6" t="s">
        <v>47</v>
      </c>
      <c r="D56" s="14"/>
      <c r="E56" s="3"/>
      <c r="F56" s="3">
        <v>19.899999999999999</v>
      </c>
      <c r="G56" s="3">
        <v>14.7712</v>
      </c>
      <c r="H56" s="3">
        <v>7.8</v>
      </c>
      <c r="I56" s="3">
        <v>249.99600000000001</v>
      </c>
      <c r="J56" s="3">
        <v>965.86</v>
      </c>
      <c r="K56" s="32">
        <v>103.62</v>
      </c>
      <c r="L56" s="7">
        <v>123.94</v>
      </c>
      <c r="M56" s="7">
        <v>501.42</v>
      </c>
      <c r="N56" s="3">
        <v>2.2143999999999999</v>
      </c>
      <c r="O56" s="3">
        <v>2.9396800000000001</v>
      </c>
      <c r="P56" s="3">
        <v>0.23648</v>
      </c>
      <c r="Q56" s="3">
        <v>0.23648</v>
      </c>
      <c r="R56" s="3">
        <v>2.9384000000000001</v>
      </c>
      <c r="S56" s="32">
        <v>6.6340000000000003</v>
      </c>
      <c r="U56" s="93">
        <v>17.063707999999998</v>
      </c>
      <c r="V56" s="84"/>
    </row>
    <row r="57" spans="2:22" x14ac:dyDescent="0.2">
      <c r="B57" s="123" t="s">
        <v>57</v>
      </c>
      <c r="C57" s="6" t="s">
        <v>58</v>
      </c>
      <c r="D57" s="20"/>
      <c r="E57" s="20">
        <v>150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V57" s="84"/>
    </row>
    <row r="58" spans="2:22" x14ac:dyDescent="0.2">
      <c r="B58" s="123"/>
      <c r="C58" s="188" t="s">
        <v>31</v>
      </c>
      <c r="D58" s="20">
        <v>170.8</v>
      </c>
      <c r="E58" s="20">
        <v>128.30000000000001</v>
      </c>
      <c r="F58" s="14">
        <v>2.5659999999999998</v>
      </c>
      <c r="G58" s="14">
        <v>0.51319999999999999</v>
      </c>
      <c r="H58" s="14">
        <v>20.9129</v>
      </c>
      <c r="I58" s="14">
        <v>98.790999999999997</v>
      </c>
      <c r="J58" s="15">
        <v>728.74400000000003</v>
      </c>
      <c r="K58" s="14">
        <v>12.83</v>
      </c>
      <c r="L58" s="14">
        <v>29.509</v>
      </c>
      <c r="M58" s="16">
        <v>74.414000000000001</v>
      </c>
      <c r="N58" s="14">
        <v>1.1547000000000001</v>
      </c>
      <c r="O58" s="14">
        <v>0</v>
      </c>
      <c r="P58" s="14">
        <v>0.15396000000000001</v>
      </c>
      <c r="Q58" s="14">
        <v>8.9810000000000001E-2</v>
      </c>
      <c r="R58" s="14">
        <v>1.6678999999999999</v>
      </c>
      <c r="S58" s="14">
        <v>25.66</v>
      </c>
      <c r="T58" s="22">
        <v>35.76</v>
      </c>
      <c r="U58" s="93">
        <v>6.1078080000000003</v>
      </c>
      <c r="V58" s="84"/>
    </row>
    <row r="59" spans="2:22" x14ac:dyDescent="0.2">
      <c r="B59" s="123"/>
      <c r="C59" s="188" t="s">
        <v>37</v>
      </c>
      <c r="D59" s="20">
        <v>5</v>
      </c>
      <c r="E59" s="20">
        <v>5</v>
      </c>
      <c r="F59" s="34">
        <v>0.04</v>
      </c>
      <c r="G59" s="34">
        <v>3.625</v>
      </c>
      <c r="H59" s="34">
        <v>6.5000000000000002E-2</v>
      </c>
      <c r="I59" s="34">
        <v>33.049999999999997</v>
      </c>
      <c r="J59" s="34">
        <v>1</v>
      </c>
      <c r="K59" s="34">
        <v>1.1000000000000001</v>
      </c>
      <c r="L59" s="34">
        <v>0.15</v>
      </c>
      <c r="M59" s="34">
        <v>1</v>
      </c>
      <c r="N59" s="34">
        <v>0.01</v>
      </c>
      <c r="O59" s="34">
        <v>2.5000000000000001E-2</v>
      </c>
      <c r="P59" s="34">
        <v>0</v>
      </c>
      <c r="Q59" s="34">
        <v>0</v>
      </c>
      <c r="R59" s="34">
        <v>5.0000000000000001E-3</v>
      </c>
      <c r="S59" s="34">
        <v>0</v>
      </c>
      <c r="T59" s="22">
        <v>300.63</v>
      </c>
      <c r="U59" s="93">
        <v>1.50315</v>
      </c>
      <c r="V59" s="69"/>
    </row>
    <row r="60" spans="2:22" x14ac:dyDescent="0.2">
      <c r="B60" s="123"/>
      <c r="C60" s="188" t="s">
        <v>29</v>
      </c>
      <c r="D60" s="20">
        <v>23.6</v>
      </c>
      <c r="E60" s="20">
        <v>22.5</v>
      </c>
      <c r="F60" s="14">
        <v>0.66080000000000005</v>
      </c>
      <c r="G60" s="14">
        <v>0.75519999999999998</v>
      </c>
      <c r="H60" s="14">
        <v>1.1092</v>
      </c>
      <c r="I60" s="14">
        <v>1.3688</v>
      </c>
      <c r="J60" s="14">
        <v>34.456000000000003</v>
      </c>
      <c r="K60" s="14">
        <v>28.32</v>
      </c>
      <c r="L60" s="14">
        <v>26.904</v>
      </c>
      <c r="M60" s="14">
        <v>2.3599999999999999E-2</v>
      </c>
      <c r="N60" s="14">
        <v>2.3599999999999999E-2</v>
      </c>
      <c r="O60" s="14">
        <v>4.7200000000000002E-3</v>
      </c>
      <c r="P60" s="14">
        <v>9.4400000000000005E-3</v>
      </c>
      <c r="Q60" s="14">
        <v>3.5400000000000001E-2</v>
      </c>
      <c r="R60" s="14">
        <v>2.3599999999999999E-2</v>
      </c>
      <c r="S60" s="14">
        <v>0.30680000000000002</v>
      </c>
      <c r="T60" s="22">
        <v>36.83</v>
      </c>
      <c r="U60" s="93">
        <v>0.86918799999999996</v>
      </c>
      <c r="V60" s="84"/>
    </row>
    <row r="61" spans="2:22" x14ac:dyDescent="0.2">
      <c r="B61" s="123"/>
      <c r="C61" s="65" t="s">
        <v>46</v>
      </c>
      <c r="D61" s="3">
        <v>1.8</v>
      </c>
      <c r="E61" s="3">
        <v>1.8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22">
        <v>11.13</v>
      </c>
      <c r="U61" s="93">
        <v>2.0034E-2</v>
      </c>
      <c r="V61" s="21"/>
    </row>
    <row r="62" spans="2:22" x14ac:dyDescent="0.2">
      <c r="B62" s="123"/>
      <c r="C62" s="5" t="s">
        <v>47</v>
      </c>
      <c r="D62" s="3"/>
      <c r="E62" s="3"/>
      <c r="F62" s="3">
        <v>3.2667999999999999</v>
      </c>
      <c r="G62" s="14">
        <v>9.8933999999999997</v>
      </c>
      <c r="H62" s="14">
        <v>22.0871</v>
      </c>
      <c r="I62" s="14">
        <v>133.2098</v>
      </c>
      <c r="J62" s="14">
        <v>764.35</v>
      </c>
      <c r="K62" s="14">
        <v>42.25</v>
      </c>
      <c r="L62" s="14">
        <v>56.563000000000002</v>
      </c>
      <c r="M62" s="14">
        <v>75.387600000000006</v>
      </c>
      <c r="N62" s="14">
        <v>1.1882999999999999</v>
      </c>
      <c r="O62" s="14">
        <v>2.972E-2</v>
      </c>
      <c r="P62" s="14">
        <v>0.16339999999999999</v>
      </c>
      <c r="Q62" s="14">
        <v>0.12526000000000001</v>
      </c>
      <c r="R62" s="14">
        <v>1.6964999999999999</v>
      </c>
      <c r="S62" s="14">
        <v>25.966799999999999</v>
      </c>
      <c r="U62" s="93">
        <v>8.5001800000000003</v>
      </c>
      <c r="V62" s="84"/>
    </row>
    <row r="63" spans="2:22" x14ac:dyDescent="0.2">
      <c r="B63" s="123" t="s">
        <v>134</v>
      </c>
      <c r="C63" s="5" t="s">
        <v>135</v>
      </c>
      <c r="D63" s="14"/>
      <c r="E63" s="14">
        <v>200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V63" s="52"/>
    </row>
    <row r="64" spans="2:22" x14ac:dyDescent="0.2">
      <c r="B64" s="123"/>
      <c r="C64" s="17" t="s">
        <v>136</v>
      </c>
      <c r="D64" s="14">
        <v>20</v>
      </c>
      <c r="E64" s="14">
        <v>50</v>
      </c>
      <c r="F64" s="14">
        <v>0</v>
      </c>
      <c r="G64" s="14">
        <v>0</v>
      </c>
      <c r="H64" s="14">
        <v>0</v>
      </c>
      <c r="I64" s="14">
        <v>28.2</v>
      </c>
      <c r="J64" s="14">
        <v>0</v>
      </c>
      <c r="K64" s="14">
        <v>0.2</v>
      </c>
      <c r="L64" s="14">
        <v>0</v>
      </c>
      <c r="M64" s="14">
        <v>0</v>
      </c>
      <c r="N64" s="14">
        <v>0.03</v>
      </c>
      <c r="O64" s="14">
        <v>0</v>
      </c>
      <c r="P64" s="14">
        <v>0</v>
      </c>
      <c r="Q64" s="14">
        <v>0</v>
      </c>
      <c r="R64" s="14">
        <v>0</v>
      </c>
      <c r="S64" s="14">
        <v>0.04</v>
      </c>
      <c r="T64" s="22">
        <v>60</v>
      </c>
      <c r="U64" s="93">
        <v>1.2</v>
      </c>
      <c r="V64" s="52"/>
    </row>
    <row r="65" spans="2:22" x14ac:dyDescent="0.2">
      <c r="B65" s="123"/>
      <c r="C65" s="17" t="s">
        <v>30</v>
      </c>
      <c r="D65" s="14">
        <v>20</v>
      </c>
      <c r="E65" s="14">
        <v>20</v>
      </c>
      <c r="F65" s="14">
        <v>0</v>
      </c>
      <c r="G65" s="14">
        <v>0</v>
      </c>
      <c r="H65" s="14">
        <v>19.98</v>
      </c>
      <c r="I65" s="14">
        <v>75.8</v>
      </c>
      <c r="J65" s="14">
        <v>0.6</v>
      </c>
      <c r="K65" s="14">
        <v>0.2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22">
        <v>35.159999999999997</v>
      </c>
      <c r="U65" s="93">
        <v>0.70320000000000005</v>
      </c>
      <c r="V65" s="52"/>
    </row>
    <row r="66" spans="2:22" x14ac:dyDescent="0.2">
      <c r="B66" s="123"/>
      <c r="C66" s="17" t="s">
        <v>35</v>
      </c>
      <c r="D66" s="14">
        <v>200</v>
      </c>
      <c r="E66" s="14">
        <v>200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22">
        <v>0</v>
      </c>
      <c r="U66" s="93">
        <v>0</v>
      </c>
      <c r="V66" s="52"/>
    </row>
    <row r="67" spans="2:22" s="26" customFormat="1" x14ac:dyDescent="0.2">
      <c r="B67" s="123"/>
      <c r="C67" s="17" t="s">
        <v>137</v>
      </c>
      <c r="D67" s="14">
        <v>0.2</v>
      </c>
      <c r="E67" s="14">
        <v>0.2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0.2</v>
      </c>
      <c r="T67" s="22">
        <v>300</v>
      </c>
      <c r="U67" s="93">
        <v>0.06</v>
      </c>
      <c r="V67" s="52"/>
    </row>
    <row r="68" spans="2:22" s="26" customFormat="1" x14ac:dyDescent="0.2">
      <c r="B68" s="125"/>
      <c r="C68" s="28" t="s">
        <v>47</v>
      </c>
      <c r="D68" s="29"/>
      <c r="E68" s="29"/>
      <c r="F68" s="29">
        <v>0</v>
      </c>
      <c r="G68" s="29">
        <v>0</v>
      </c>
      <c r="H68" s="29">
        <v>19.98</v>
      </c>
      <c r="I68" s="29">
        <v>104</v>
      </c>
      <c r="J68" s="29">
        <v>0.6</v>
      </c>
      <c r="K68" s="29">
        <v>0.4</v>
      </c>
      <c r="L68" s="29">
        <v>0</v>
      </c>
      <c r="M68" s="29">
        <v>0</v>
      </c>
      <c r="N68" s="29">
        <v>0.03</v>
      </c>
      <c r="O68" s="29">
        <v>0</v>
      </c>
      <c r="P68" s="29">
        <v>0</v>
      </c>
      <c r="Q68" s="29">
        <v>0</v>
      </c>
      <c r="R68" s="29">
        <v>0</v>
      </c>
      <c r="S68" s="29">
        <v>0.24</v>
      </c>
      <c r="T68" s="3"/>
      <c r="U68" s="32">
        <v>1.9632000000000001</v>
      </c>
      <c r="V68" s="21"/>
    </row>
    <row r="69" spans="2:22" ht="25.5" x14ac:dyDescent="0.2">
      <c r="B69" s="69"/>
      <c r="C69" s="5" t="s">
        <v>105</v>
      </c>
      <c r="D69" s="69">
        <v>30</v>
      </c>
      <c r="E69" s="69">
        <v>30</v>
      </c>
      <c r="F69" s="69">
        <v>1.54</v>
      </c>
      <c r="G69" s="69">
        <v>0.6</v>
      </c>
      <c r="H69" s="69">
        <v>9.9600000000000009</v>
      </c>
      <c r="I69" s="69">
        <v>52.4</v>
      </c>
      <c r="J69" s="69">
        <v>25.4</v>
      </c>
      <c r="K69" s="69">
        <v>5.2</v>
      </c>
      <c r="L69" s="69">
        <v>7</v>
      </c>
      <c r="M69" s="69">
        <v>16.600000000000001</v>
      </c>
      <c r="N69" s="69">
        <v>0.32</v>
      </c>
      <c r="O69" s="69">
        <v>0</v>
      </c>
      <c r="P69" s="69">
        <v>3.2000000000000001E-2</v>
      </c>
      <c r="Q69" s="69">
        <v>1.6E-2</v>
      </c>
      <c r="R69" s="69">
        <v>0.308</v>
      </c>
      <c r="S69" s="69">
        <v>0</v>
      </c>
      <c r="T69" s="69">
        <v>29.29</v>
      </c>
      <c r="U69" s="96">
        <v>0.58584000000000003</v>
      </c>
      <c r="V69" s="96">
        <v>0.74360000000000004</v>
      </c>
    </row>
    <row r="70" spans="2:22" x14ac:dyDescent="0.2">
      <c r="B70" s="69" t="s">
        <v>24</v>
      </c>
      <c r="C70" s="39" t="s">
        <v>106</v>
      </c>
      <c r="D70" s="3">
        <v>20</v>
      </c>
      <c r="E70" s="3">
        <v>20</v>
      </c>
      <c r="F70" s="3">
        <v>1.32</v>
      </c>
      <c r="G70" s="3">
        <v>0.24</v>
      </c>
      <c r="H70" s="3">
        <v>6.84</v>
      </c>
      <c r="I70" s="3">
        <v>36.200000000000003</v>
      </c>
      <c r="J70" s="3">
        <v>18.8</v>
      </c>
      <c r="K70" s="3">
        <v>6.8</v>
      </c>
      <c r="L70" s="3">
        <v>8.1999999999999993</v>
      </c>
      <c r="M70" s="3">
        <v>24</v>
      </c>
      <c r="N70" s="3">
        <v>0.46</v>
      </c>
      <c r="O70" s="3">
        <v>0</v>
      </c>
      <c r="P70" s="3">
        <v>2.1999999999999999E-2</v>
      </c>
      <c r="Q70" s="3">
        <v>1.6E-2</v>
      </c>
      <c r="R70" s="3">
        <v>0.128</v>
      </c>
      <c r="S70" s="3">
        <v>0</v>
      </c>
      <c r="T70" s="69">
        <v>35.9</v>
      </c>
      <c r="U70" s="96">
        <v>0.71799999999999997</v>
      </c>
      <c r="V70" s="96">
        <v>5.8680159999999999</v>
      </c>
    </row>
    <row r="71" spans="2:22" ht="12" customHeight="1" x14ac:dyDescent="0.2">
      <c r="B71" s="69"/>
      <c r="C71" s="156"/>
      <c r="D71" s="84"/>
      <c r="E71" s="84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96"/>
      <c r="V71" s="84"/>
    </row>
    <row r="72" spans="2:22" ht="12" customHeight="1" x14ac:dyDescent="0.2">
      <c r="B72" s="69"/>
      <c r="C72" s="3" t="s">
        <v>164</v>
      </c>
      <c r="D72" s="3"/>
      <c r="E72" s="3"/>
      <c r="F72" s="3">
        <v>28.005120000000002</v>
      </c>
      <c r="G72" s="3">
        <v>29.980799999999999</v>
      </c>
      <c r="H72" s="3">
        <v>78.219300000000004</v>
      </c>
      <c r="I72" s="3">
        <v>633.77380000000005</v>
      </c>
      <c r="J72" s="3">
        <v>1793.8920000000001</v>
      </c>
      <c r="K72" s="3">
        <v>140.64400000000001</v>
      </c>
      <c r="L72" s="3">
        <v>168.53100000000001</v>
      </c>
      <c r="M72" s="3">
        <v>464.49959999999999</v>
      </c>
      <c r="N72" s="3">
        <v>4.1574999999999998</v>
      </c>
      <c r="O72" s="3">
        <v>4.1079999999999998E-2</v>
      </c>
      <c r="P72" s="3">
        <v>0.44456000000000001</v>
      </c>
      <c r="Q72" s="3">
        <v>0.34487000000000001</v>
      </c>
      <c r="R72" s="3">
        <v>4.9239800000000002</v>
      </c>
      <c r="S72" s="3">
        <v>42.1648</v>
      </c>
      <c r="T72" s="69"/>
      <c r="U72" s="96"/>
      <c r="V72" s="21">
        <v>27.37</v>
      </c>
    </row>
    <row r="73" spans="2:22" ht="12" customHeight="1" x14ac:dyDescent="0.2">
      <c r="B73" s="69"/>
      <c r="C73" s="196" t="s">
        <v>53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  <c r="S73" s="69"/>
      <c r="T73" s="69"/>
      <c r="U73" s="96"/>
      <c r="V73" s="84"/>
    </row>
    <row r="74" spans="2:22" s="26" customFormat="1" x14ac:dyDescent="0.2">
      <c r="B74" s="69"/>
      <c r="C74" s="196" t="s">
        <v>163</v>
      </c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70"/>
      <c r="S74" s="69"/>
      <c r="T74" s="69"/>
      <c r="U74" s="96"/>
      <c r="V74" s="84"/>
    </row>
    <row r="75" spans="2:22" s="26" customFormat="1" ht="25.5" x14ac:dyDescent="0.2">
      <c r="B75" s="30" t="s">
        <v>121</v>
      </c>
      <c r="C75" s="28" t="s">
        <v>122</v>
      </c>
      <c r="D75" s="31"/>
      <c r="E75" s="29">
        <v>75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69"/>
      <c r="U75" s="94"/>
      <c r="V75" s="84"/>
    </row>
    <row r="76" spans="2:22" s="26" customFormat="1" x14ac:dyDescent="0.2">
      <c r="B76" s="30"/>
      <c r="C76" s="78" t="s">
        <v>123</v>
      </c>
      <c r="D76" s="34">
        <v>147</v>
      </c>
      <c r="E76" s="34">
        <v>106</v>
      </c>
      <c r="F76" s="36">
        <f>18.7*E76/100</f>
        <v>19.821999999999999</v>
      </c>
      <c r="G76" s="36">
        <f>16.1*E76/100</f>
        <v>17.066000000000003</v>
      </c>
      <c r="H76" s="36">
        <v>0</v>
      </c>
      <c r="I76" s="36">
        <f>220*E76/100</f>
        <v>233.2</v>
      </c>
      <c r="J76" s="37">
        <f>236*E76/100</f>
        <v>250.16</v>
      </c>
      <c r="K76" s="36">
        <f>14*E76/100</f>
        <v>14.84</v>
      </c>
      <c r="L76" s="36">
        <f>19*E76/100</f>
        <v>20.14</v>
      </c>
      <c r="M76" s="36">
        <f>160*E76/100</f>
        <v>169.6</v>
      </c>
      <c r="N76" s="36">
        <f>1.3*E76/100</f>
        <v>1.3780000000000001</v>
      </c>
      <c r="O76" s="36">
        <v>0</v>
      </c>
      <c r="P76" s="36">
        <v>0</v>
      </c>
      <c r="Q76" s="36">
        <v>0</v>
      </c>
      <c r="R76" s="36">
        <f>6.1*E76/100</f>
        <v>6.4659999999999993</v>
      </c>
      <c r="S76" s="36">
        <f>2*E76/100</f>
        <v>2.12</v>
      </c>
      <c r="T76" s="69">
        <v>329.42</v>
      </c>
      <c r="U76" s="92">
        <v>141.57</v>
      </c>
      <c r="V76" s="84">
        <f t="shared" ref="V76:V87" si="7">D76*U76/1000</f>
        <v>20.810789999999997</v>
      </c>
    </row>
    <row r="77" spans="2:22" s="26" customFormat="1" ht="25.5" x14ac:dyDescent="0.2">
      <c r="B77" s="31"/>
      <c r="C77" s="78" t="s">
        <v>34</v>
      </c>
      <c r="D77" s="34">
        <v>2.5</v>
      </c>
      <c r="E77" s="34">
        <v>2.5</v>
      </c>
      <c r="F77" s="69">
        <v>0</v>
      </c>
      <c r="G77" s="69">
        <f>99.9*E77/100</f>
        <v>2.4975000000000001</v>
      </c>
      <c r="H77" s="69">
        <v>0</v>
      </c>
      <c r="I77" s="69">
        <f>899*E77/100</f>
        <v>22.475000000000001</v>
      </c>
      <c r="J77" s="85">
        <v>0</v>
      </c>
      <c r="K77" s="69">
        <v>0</v>
      </c>
      <c r="L77" s="69">
        <v>0</v>
      </c>
      <c r="M77" s="85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69">
        <v>29.98</v>
      </c>
      <c r="U77" s="92">
        <v>83.43</v>
      </c>
      <c r="V77" s="84">
        <f t="shared" si="7"/>
        <v>0.20857500000000001</v>
      </c>
    </row>
    <row r="78" spans="2:22" ht="18" customHeight="1" x14ac:dyDescent="0.2">
      <c r="B78" s="136" t="s">
        <v>98</v>
      </c>
      <c r="C78" s="71" t="s">
        <v>99</v>
      </c>
      <c r="D78" s="34"/>
      <c r="E78" s="79">
        <v>75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69">
        <v>35.71</v>
      </c>
      <c r="U78" s="92"/>
      <c r="V78" s="84">
        <f t="shared" si="7"/>
        <v>0</v>
      </c>
    </row>
    <row r="79" spans="2:22" ht="12.75" customHeight="1" x14ac:dyDescent="0.2">
      <c r="B79" s="136"/>
      <c r="C79" s="30" t="s">
        <v>100</v>
      </c>
      <c r="D79" s="34">
        <v>75</v>
      </c>
      <c r="E79" s="34">
        <v>75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23.05</v>
      </c>
      <c r="U79" s="92">
        <v>0</v>
      </c>
      <c r="V79" s="84">
        <f t="shared" si="7"/>
        <v>0</v>
      </c>
    </row>
    <row r="80" spans="2:22" ht="12.75" customHeight="1" x14ac:dyDescent="0.2">
      <c r="B80" s="136"/>
      <c r="C80" s="30" t="s">
        <v>34</v>
      </c>
      <c r="D80" s="34">
        <v>1.5</v>
      </c>
      <c r="E80" s="34">
        <v>1.5</v>
      </c>
      <c r="F80" s="69">
        <v>0</v>
      </c>
      <c r="G80" s="69">
        <f>99.9*E80/100</f>
        <v>1.4985000000000002</v>
      </c>
      <c r="H80" s="69">
        <v>0</v>
      </c>
      <c r="I80" s="69">
        <f>899*E80/100</f>
        <v>13.484999999999999</v>
      </c>
      <c r="J80" s="85">
        <v>0</v>
      </c>
      <c r="K80" s="69">
        <v>0</v>
      </c>
      <c r="L80" s="69">
        <v>0</v>
      </c>
      <c r="M80" s="85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297.44</v>
      </c>
      <c r="U80" s="92">
        <v>83.43</v>
      </c>
      <c r="V80" s="84">
        <f t="shared" si="7"/>
        <v>0.12514500000000001</v>
      </c>
    </row>
    <row r="81" spans="2:22" ht="12.75" customHeight="1" x14ac:dyDescent="0.2">
      <c r="B81" s="136"/>
      <c r="C81" s="30" t="s">
        <v>38</v>
      </c>
      <c r="D81" s="34">
        <v>3.8</v>
      </c>
      <c r="E81" s="34">
        <v>3.8</v>
      </c>
      <c r="F81" s="69">
        <f>10.3*E81/100</f>
        <v>0.39140000000000003</v>
      </c>
      <c r="G81" s="69">
        <f>1.1*E81/100</f>
        <v>4.1799999999999997E-2</v>
      </c>
      <c r="H81" s="69">
        <f>69*E81/100</f>
        <v>2.6219999999999999</v>
      </c>
      <c r="I81" s="69">
        <f>334*E81/100</f>
        <v>12.692</v>
      </c>
      <c r="J81" s="85">
        <f>176*E81/100</f>
        <v>6.6879999999999997</v>
      </c>
      <c r="K81" s="69">
        <f>24*E81/100</f>
        <v>0.91199999999999992</v>
      </c>
      <c r="L81" s="69">
        <f>44*E81/100</f>
        <v>1.6719999999999999</v>
      </c>
      <c r="M81" s="85">
        <f>115*E81/100</f>
        <v>4.37</v>
      </c>
      <c r="N81" s="69">
        <f>2.1*E81/100</f>
        <v>7.9799999999999996E-2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29.98</v>
      </c>
      <c r="U81" s="92">
        <v>27.31</v>
      </c>
      <c r="V81" s="84">
        <f t="shared" si="7"/>
        <v>0.103778</v>
      </c>
    </row>
    <row r="82" spans="2:22" ht="12.75" customHeight="1" x14ac:dyDescent="0.2">
      <c r="B82" s="136"/>
      <c r="C82" s="30" t="s">
        <v>36</v>
      </c>
      <c r="D82" s="34">
        <v>3</v>
      </c>
      <c r="E82" s="34">
        <v>3</v>
      </c>
      <c r="F82" s="34">
        <f>4.8*E82/100</f>
        <v>0.14399999999999999</v>
      </c>
      <c r="G82" s="34">
        <v>0</v>
      </c>
      <c r="H82" s="34">
        <f>19*E82/100</f>
        <v>0.56999999999999995</v>
      </c>
      <c r="I82" s="34">
        <f>102*E82/100</f>
        <v>3.06</v>
      </c>
      <c r="J82" s="34">
        <f>875*E82/100</f>
        <v>26.25</v>
      </c>
      <c r="K82" s="34">
        <f>20*E82/100</f>
        <v>0.6</v>
      </c>
      <c r="L82" s="34">
        <f>50*E82/100</f>
        <v>1.5</v>
      </c>
      <c r="M82" s="34">
        <f>68*E82/100</f>
        <v>2.04</v>
      </c>
      <c r="N82" s="34">
        <f>2.3*E82/100</f>
        <v>6.8999999999999992E-2</v>
      </c>
      <c r="O82" s="34">
        <v>0</v>
      </c>
      <c r="P82" s="34">
        <v>0</v>
      </c>
      <c r="Q82" s="34">
        <v>0</v>
      </c>
      <c r="R82" s="34">
        <v>0</v>
      </c>
      <c r="S82" s="34">
        <f>45*E82/100</f>
        <v>1.35</v>
      </c>
      <c r="T82" s="69">
        <v>11.03</v>
      </c>
      <c r="U82" s="92">
        <v>120</v>
      </c>
      <c r="V82" s="84">
        <f t="shared" si="7"/>
        <v>0.36</v>
      </c>
    </row>
    <row r="83" spans="2:22" ht="12.75" customHeight="1" x14ac:dyDescent="0.2">
      <c r="B83" s="136"/>
      <c r="C83" s="30" t="s">
        <v>32</v>
      </c>
      <c r="D83" s="34">
        <v>7.5</v>
      </c>
      <c r="E83" s="34">
        <v>6</v>
      </c>
      <c r="F83" s="34">
        <f>1.3*E83/100</f>
        <v>7.8000000000000014E-2</v>
      </c>
      <c r="G83" s="34">
        <v>0</v>
      </c>
      <c r="H83" s="34">
        <f>6.9*E83/100</f>
        <v>0.41400000000000003</v>
      </c>
      <c r="I83" s="34">
        <f>35*E83/100</f>
        <v>2.1</v>
      </c>
      <c r="J83" s="34">
        <f>200*E83/100</f>
        <v>12</v>
      </c>
      <c r="K83" s="34">
        <f>27*E83/100</f>
        <v>1.62</v>
      </c>
      <c r="L83" s="34">
        <f>38*E83/100</f>
        <v>2.2799999999999998</v>
      </c>
      <c r="M83" s="34">
        <f>55*E83/100</f>
        <v>3.3</v>
      </c>
      <c r="N83" s="34">
        <v>0</v>
      </c>
      <c r="O83" s="34">
        <v>0</v>
      </c>
      <c r="P83" s="34">
        <v>0</v>
      </c>
      <c r="Q83" s="34">
        <v>0</v>
      </c>
      <c r="R83" s="34">
        <f>1*E83/100</f>
        <v>0.06</v>
      </c>
      <c r="S83" s="34">
        <f>5*E83/100</f>
        <v>0.3</v>
      </c>
      <c r="T83" s="69"/>
      <c r="U83" s="92">
        <v>32.71</v>
      </c>
      <c r="V83" s="84">
        <f t="shared" si="7"/>
        <v>0.24532500000000002</v>
      </c>
    </row>
    <row r="84" spans="2:22" ht="12.75" customHeight="1" x14ac:dyDescent="0.2">
      <c r="B84" s="136"/>
      <c r="C84" s="30" t="s">
        <v>33</v>
      </c>
      <c r="D84" s="159">
        <v>1.8</v>
      </c>
      <c r="E84" s="160">
        <v>1.5</v>
      </c>
      <c r="F84" s="69">
        <f>1.4*E84/100</f>
        <v>2.0999999999999998E-2</v>
      </c>
      <c r="G84" s="157">
        <v>0</v>
      </c>
      <c r="H84" s="157">
        <f>8.2*E84/100</f>
        <v>0.12299999999999998</v>
      </c>
      <c r="I84" s="157">
        <f>41*E84/100</f>
        <v>0.61499999999999999</v>
      </c>
      <c r="J84" s="158">
        <f>175*E84/100</f>
        <v>2.625</v>
      </c>
      <c r="K84" s="157">
        <f>31*E84/100</f>
        <v>0.46500000000000002</v>
      </c>
      <c r="L84" s="157">
        <f>14*E84/100</f>
        <v>0.21</v>
      </c>
      <c r="M84" s="158">
        <f>58*E84/100</f>
        <v>0.87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f>10*E84/100</f>
        <v>0.15</v>
      </c>
      <c r="T84" s="69"/>
      <c r="U84" s="92">
        <v>29.62</v>
      </c>
      <c r="V84" s="84">
        <f t="shared" si="7"/>
        <v>5.3316000000000002E-2</v>
      </c>
    </row>
    <row r="85" spans="2:22" ht="12.75" customHeight="1" x14ac:dyDescent="0.2">
      <c r="B85" s="136"/>
      <c r="C85" s="30" t="s">
        <v>30</v>
      </c>
      <c r="D85" s="69">
        <v>1.1000000000000001</v>
      </c>
      <c r="E85" s="69">
        <v>1.1000000000000001</v>
      </c>
      <c r="F85" s="84">
        <v>0</v>
      </c>
      <c r="G85" s="84">
        <v>0</v>
      </c>
      <c r="H85" s="84">
        <f>99.8*E85/100</f>
        <v>1.0978000000000001</v>
      </c>
      <c r="I85" s="84">
        <f>379*E85/100</f>
        <v>4.1690000000000005</v>
      </c>
      <c r="J85" s="84">
        <f>3*E85/100</f>
        <v>3.3000000000000002E-2</v>
      </c>
      <c r="K85" s="84">
        <f>2*E85/100</f>
        <v>2.2000000000000002E-2</v>
      </c>
      <c r="L85" s="84">
        <v>0</v>
      </c>
      <c r="M85" s="84">
        <v>0</v>
      </c>
      <c r="N85" s="84">
        <v>0</v>
      </c>
      <c r="O85" s="84">
        <v>0</v>
      </c>
      <c r="P85" s="84">
        <v>0</v>
      </c>
      <c r="Q85" s="84">
        <v>0</v>
      </c>
      <c r="R85" s="84">
        <v>0</v>
      </c>
      <c r="S85" s="84">
        <v>0</v>
      </c>
      <c r="T85" s="69">
        <v>0</v>
      </c>
      <c r="U85" s="92">
        <v>50.97</v>
      </c>
      <c r="V85" s="84">
        <f t="shared" si="7"/>
        <v>5.6066999999999999E-2</v>
      </c>
    </row>
    <row r="86" spans="2:22" ht="12.75" customHeight="1" x14ac:dyDescent="0.2">
      <c r="B86" s="136"/>
      <c r="C86" s="30" t="s">
        <v>46</v>
      </c>
      <c r="D86" s="69">
        <v>0.75</v>
      </c>
      <c r="E86" s="69">
        <v>0.75</v>
      </c>
      <c r="F86" s="69">
        <v>0</v>
      </c>
      <c r="G86" s="69">
        <v>0</v>
      </c>
      <c r="H86" s="69">
        <v>0</v>
      </c>
      <c r="I86" s="69">
        <v>0</v>
      </c>
      <c r="J86" s="84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4">
        <v>0</v>
      </c>
      <c r="R86" s="84">
        <v>0</v>
      </c>
      <c r="S86" s="84">
        <v>0</v>
      </c>
      <c r="T86" s="69">
        <v>71.02</v>
      </c>
      <c r="U86" s="92">
        <v>11.63</v>
      </c>
      <c r="V86" s="84">
        <f t="shared" si="7"/>
        <v>8.7224999999999994E-3</v>
      </c>
    </row>
    <row r="87" spans="2:22" ht="12.75" customHeight="1" x14ac:dyDescent="0.2">
      <c r="B87" s="136"/>
      <c r="C87" s="76" t="s">
        <v>39</v>
      </c>
      <c r="D87" s="69">
        <v>1.4999999999999999E-2</v>
      </c>
      <c r="E87" s="69">
        <v>1.4999999999999999E-2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24.11</v>
      </c>
      <c r="U87" s="92">
        <v>300</v>
      </c>
      <c r="V87" s="84">
        <f t="shared" si="7"/>
        <v>4.4999999999999997E-3</v>
      </c>
    </row>
    <row r="88" spans="2:22" ht="12.75" customHeight="1" x14ac:dyDescent="0.2">
      <c r="B88" s="136"/>
      <c r="C88" s="71" t="s">
        <v>77</v>
      </c>
      <c r="D88" s="69"/>
      <c r="E88" s="69"/>
      <c r="F88" s="3">
        <f t="shared" ref="F88:S88" si="8">SUM(F79:F87)+F76+F77</f>
        <v>20.456399999999999</v>
      </c>
      <c r="G88" s="3">
        <f t="shared" si="8"/>
        <v>21.103800000000003</v>
      </c>
      <c r="H88" s="3">
        <f t="shared" si="8"/>
        <v>4.8267999999999995</v>
      </c>
      <c r="I88" s="3">
        <f t="shared" si="8"/>
        <v>291.79599999999999</v>
      </c>
      <c r="J88" s="3">
        <f t="shared" si="8"/>
        <v>297.75599999999997</v>
      </c>
      <c r="K88" s="3">
        <f t="shared" si="8"/>
        <v>18.459</v>
      </c>
      <c r="L88" s="3">
        <f t="shared" si="8"/>
        <v>25.802</v>
      </c>
      <c r="M88" s="3">
        <f t="shared" si="8"/>
        <v>180.18</v>
      </c>
      <c r="N88" s="3">
        <f t="shared" si="8"/>
        <v>1.5268000000000002</v>
      </c>
      <c r="O88" s="3">
        <f t="shared" si="8"/>
        <v>0</v>
      </c>
      <c r="P88" s="3">
        <f t="shared" si="8"/>
        <v>0</v>
      </c>
      <c r="Q88" s="3">
        <f t="shared" si="8"/>
        <v>0</v>
      </c>
      <c r="R88" s="3">
        <f t="shared" si="8"/>
        <v>6.5259999999999989</v>
      </c>
      <c r="S88" s="3">
        <f t="shared" si="8"/>
        <v>3.92</v>
      </c>
      <c r="T88" s="69">
        <v>160.44999999999999</v>
      </c>
      <c r="U88" s="92"/>
      <c r="V88" s="21">
        <v>21.98</v>
      </c>
    </row>
    <row r="89" spans="2:22" ht="12.75" customHeight="1" x14ac:dyDescent="0.2">
      <c r="B89" s="144" t="s">
        <v>6</v>
      </c>
      <c r="C89" s="5" t="s">
        <v>118</v>
      </c>
      <c r="D89" s="69"/>
      <c r="E89" s="3">
        <v>150</v>
      </c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>
        <v>28.06</v>
      </c>
      <c r="U89" s="92"/>
      <c r="V89" s="84"/>
    </row>
    <row r="90" spans="2:22" ht="12.75" customHeight="1" x14ac:dyDescent="0.2">
      <c r="B90" s="144"/>
      <c r="C90" s="65" t="s">
        <v>86</v>
      </c>
      <c r="D90" s="69">
        <v>58.2</v>
      </c>
      <c r="E90" s="69">
        <v>58.2</v>
      </c>
      <c r="F90" s="69">
        <f>12.5*E90/100</f>
        <v>7.2750000000000004</v>
      </c>
      <c r="G90" s="69">
        <v>0</v>
      </c>
      <c r="H90" s="69">
        <f>71.8*E90/100</f>
        <v>41.787600000000005</v>
      </c>
      <c r="I90" s="69">
        <f>326*E90/100</f>
        <v>189.732</v>
      </c>
      <c r="J90" s="69">
        <v>0</v>
      </c>
      <c r="K90" s="69">
        <v>0</v>
      </c>
      <c r="L90" s="69">
        <v>0</v>
      </c>
      <c r="M90" s="69">
        <f>276*E90/100</f>
        <v>160.63200000000001</v>
      </c>
      <c r="N90" s="69">
        <f>6.7*E90/100</f>
        <v>3.8994000000000004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25.73</v>
      </c>
      <c r="U90" s="92">
        <v>26.62</v>
      </c>
      <c r="V90" s="84">
        <f>D90*U90/1000</f>
        <v>1.5492840000000001</v>
      </c>
    </row>
    <row r="91" spans="2:22" ht="12.75" customHeight="1" x14ac:dyDescent="0.2">
      <c r="B91" s="144"/>
      <c r="C91" s="65" t="s">
        <v>46</v>
      </c>
      <c r="D91" s="69">
        <v>0.3</v>
      </c>
      <c r="E91" s="69">
        <v>0.3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30.63</v>
      </c>
      <c r="U91" s="92">
        <v>11.63</v>
      </c>
      <c r="V91" s="84">
        <f>D91*U91/1000</f>
        <v>3.4890000000000003E-3</v>
      </c>
    </row>
    <row r="92" spans="2:22" ht="12.75" customHeight="1" x14ac:dyDescent="0.2">
      <c r="B92" s="144"/>
      <c r="C92" s="65" t="s">
        <v>37</v>
      </c>
      <c r="D92" s="69">
        <v>5</v>
      </c>
      <c r="E92" s="69">
        <v>5</v>
      </c>
      <c r="F92" s="69">
        <f>0.8*E92/100</f>
        <v>0.04</v>
      </c>
      <c r="G92" s="69">
        <f>72.5*E92/100</f>
        <v>3.625</v>
      </c>
      <c r="H92" s="69">
        <f>1.3*E92/100</f>
        <v>6.5000000000000002E-2</v>
      </c>
      <c r="I92" s="69">
        <f>661*E92/100</f>
        <v>33.049999999999997</v>
      </c>
      <c r="J92" s="86">
        <f>23*E92/100</f>
        <v>1.1499999999999999</v>
      </c>
      <c r="K92" s="69">
        <f>22*E92/100</f>
        <v>1.1000000000000001</v>
      </c>
      <c r="L92" s="69">
        <f>3*E92/100</f>
        <v>0.15</v>
      </c>
      <c r="M92" s="85">
        <f>19*E92/100</f>
        <v>0.95</v>
      </c>
      <c r="N92" s="69">
        <f>0.2*E92/100</f>
        <v>0.01</v>
      </c>
      <c r="O92" s="69">
        <f>0.5*E92/100</f>
        <v>2.5000000000000001E-2</v>
      </c>
      <c r="P92" s="69">
        <f>0</f>
        <v>0</v>
      </c>
      <c r="Q92" s="96">
        <f>0.01*E92/1000</f>
        <v>5.0000000000000002E-5</v>
      </c>
      <c r="R92" s="69">
        <f>0.1*E92/100</f>
        <v>5.0000000000000001E-3</v>
      </c>
      <c r="S92" s="69">
        <f>0</f>
        <v>0</v>
      </c>
      <c r="T92" s="69">
        <v>11.03</v>
      </c>
      <c r="U92" s="92">
        <v>337.78</v>
      </c>
      <c r="V92" s="84">
        <f>D92*U92/1000</f>
        <v>1.6888999999999998</v>
      </c>
    </row>
    <row r="93" spans="2:22" ht="12.75" customHeight="1" x14ac:dyDescent="0.2">
      <c r="B93" s="144"/>
      <c r="C93" s="71" t="s">
        <v>77</v>
      </c>
      <c r="D93" s="84"/>
      <c r="E93" s="84"/>
      <c r="F93" s="21">
        <f>F90+F91+F92</f>
        <v>7.3150000000000004</v>
      </c>
      <c r="G93" s="21">
        <f t="shared" ref="G93:S93" si="9">G90+G91+G92</f>
        <v>3.625</v>
      </c>
      <c r="H93" s="21">
        <f t="shared" si="9"/>
        <v>41.852600000000002</v>
      </c>
      <c r="I93" s="21">
        <f t="shared" si="9"/>
        <v>222.78199999999998</v>
      </c>
      <c r="J93" s="21">
        <f t="shared" si="9"/>
        <v>1.1499999999999999</v>
      </c>
      <c r="K93" s="21">
        <f t="shared" si="9"/>
        <v>1.1000000000000001</v>
      </c>
      <c r="L93" s="21">
        <f t="shared" si="9"/>
        <v>0.15</v>
      </c>
      <c r="M93" s="21">
        <f t="shared" si="9"/>
        <v>161.58199999999999</v>
      </c>
      <c r="N93" s="21">
        <f t="shared" si="9"/>
        <v>3.9094000000000002</v>
      </c>
      <c r="O93" s="21">
        <f t="shared" si="9"/>
        <v>2.5000000000000001E-2</v>
      </c>
      <c r="P93" s="21">
        <f t="shared" si="9"/>
        <v>0</v>
      </c>
      <c r="Q93" s="21">
        <f t="shared" si="9"/>
        <v>5.0000000000000002E-5</v>
      </c>
      <c r="R93" s="21">
        <f t="shared" si="9"/>
        <v>5.0000000000000001E-3</v>
      </c>
      <c r="S93" s="21">
        <f t="shared" si="9"/>
        <v>0</v>
      </c>
      <c r="T93" s="69">
        <v>300</v>
      </c>
      <c r="U93" s="92"/>
      <c r="V93" s="21">
        <f>V90+V91+V92</f>
        <v>3.241673</v>
      </c>
    </row>
    <row r="94" spans="2:22" x14ac:dyDescent="0.2">
      <c r="B94" s="69" t="s">
        <v>73</v>
      </c>
      <c r="C94" s="5" t="s">
        <v>74</v>
      </c>
      <c r="D94" s="313" t="s">
        <v>75</v>
      </c>
      <c r="E94" s="314"/>
      <c r="F94" s="4"/>
      <c r="G94" s="4"/>
      <c r="H94" s="4"/>
      <c r="I94" s="4"/>
      <c r="J94" s="11"/>
      <c r="K94" s="4"/>
      <c r="L94" s="4"/>
      <c r="M94" s="11"/>
      <c r="N94" s="4"/>
      <c r="O94" s="4"/>
      <c r="P94" s="4"/>
      <c r="Q94" s="4"/>
      <c r="R94" s="51"/>
      <c r="S94" s="4"/>
      <c r="T94" s="69"/>
      <c r="U94" s="96"/>
      <c r="V94" s="84"/>
    </row>
    <row r="95" spans="2:22" x14ac:dyDescent="0.2">
      <c r="B95" s="69"/>
      <c r="C95" s="65" t="s">
        <v>40</v>
      </c>
      <c r="D95" s="159">
        <v>50</v>
      </c>
      <c r="E95" s="159">
        <v>50</v>
      </c>
      <c r="F95" s="69">
        <v>0.1</v>
      </c>
      <c r="G95" s="69">
        <v>0</v>
      </c>
      <c r="H95" s="69">
        <v>0</v>
      </c>
      <c r="I95" s="69">
        <v>0.8</v>
      </c>
      <c r="J95" s="85">
        <v>12.4</v>
      </c>
      <c r="K95" s="69">
        <v>2.5</v>
      </c>
      <c r="L95" s="69">
        <v>2.2000000000000002</v>
      </c>
      <c r="M95" s="85">
        <v>4.12</v>
      </c>
      <c r="N95" s="69">
        <v>0.4</v>
      </c>
      <c r="O95" s="69">
        <v>0</v>
      </c>
      <c r="P95" s="69">
        <v>0</v>
      </c>
      <c r="Q95" s="69">
        <v>0</v>
      </c>
      <c r="R95" s="70">
        <v>0</v>
      </c>
      <c r="S95" s="69">
        <v>0</v>
      </c>
      <c r="T95" s="69"/>
      <c r="U95" s="96">
        <v>539.16999999999996</v>
      </c>
      <c r="V95" s="84">
        <f>1*U95/1000</f>
        <v>0.53916999999999993</v>
      </c>
    </row>
    <row r="96" spans="2:22" x14ac:dyDescent="0.2">
      <c r="B96" s="69"/>
      <c r="C96" s="65" t="s">
        <v>30</v>
      </c>
      <c r="D96" s="159">
        <v>15</v>
      </c>
      <c r="E96" s="159">
        <v>15</v>
      </c>
      <c r="F96" s="69">
        <v>0</v>
      </c>
      <c r="G96" s="69">
        <v>0</v>
      </c>
      <c r="H96" s="69">
        <v>15</v>
      </c>
      <c r="I96" s="69">
        <v>56.9</v>
      </c>
      <c r="J96" s="85">
        <v>0.5</v>
      </c>
      <c r="K96" s="69">
        <v>0.4</v>
      </c>
      <c r="L96" s="69">
        <v>0</v>
      </c>
      <c r="M96" s="85">
        <v>0</v>
      </c>
      <c r="N96" s="69">
        <v>0</v>
      </c>
      <c r="O96" s="69">
        <v>0</v>
      </c>
      <c r="P96" s="69">
        <v>0</v>
      </c>
      <c r="Q96" s="69">
        <v>0</v>
      </c>
      <c r="R96" s="70">
        <v>0</v>
      </c>
      <c r="S96" s="69">
        <v>0</v>
      </c>
      <c r="T96" s="69"/>
      <c r="U96" s="96">
        <v>50.97</v>
      </c>
      <c r="V96" s="84">
        <f>D96*U96/1000</f>
        <v>0.76454999999999995</v>
      </c>
    </row>
    <row r="97" spans="1:23" x14ac:dyDescent="0.2">
      <c r="B97" s="69"/>
      <c r="C97" s="65" t="s">
        <v>35</v>
      </c>
      <c r="D97" s="159">
        <v>150</v>
      </c>
      <c r="E97" s="159">
        <v>150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70">
        <v>0</v>
      </c>
      <c r="S97" s="69">
        <v>0</v>
      </c>
      <c r="T97" s="69"/>
      <c r="U97" s="96">
        <v>0</v>
      </c>
      <c r="V97" s="84">
        <f>D97*U97/1000</f>
        <v>0</v>
      </c>
    </row>
    <row r="98" spans="1:23" x14ac:dyDescent="0.2">
      <c r="B98" s="69"/>
      <c r="C98" s="39" t="s">
        <v>47</v>
      </c>
      <c r="D98" s="3"/>
      <c r="E98" s="3"/>
      <c r="F98" s="3">
        <f t="shared" ref="F98:S98" si="10">SUM(F95:F97)</f>
        <v>0.1</v>
      </c>
      <c r="G98" s="3">
        <f t="shared" si="10"/>
        <v>0</v>
      </c>
      <c r="H98" s="3">
        <f t="shared" si="10"/>
        <v>15</v>
      </c>
      <c r="I98" s="3">
        <f t="shared" si="10"/>
        <v>57.699999999999996</v>
      </c>
      <c r="J98" s="3">
        <f t="shared" si="10"/>
        <v>12.9</v>
      </c>
      <c r="K98" s="3">
        <f t="shared" si="10"/>
        <v>2.9</v>
      </c>
      <c r="L98" s="3">
        <f t="shared" si="10"/>
        <v>2.2000000000000002</v>
      </c>
      <c r="M98" s="3">
        <f t="shared" si="10"/>
        <v>4.12</v>
      </c>
      <c r="N98" s="3">
        <f t="shared" si="10"/>
        <v>0.4</v>
      </c>
      <c r="O98" s="3">
        <f t="shared" si="10"/>
        <v>0</v>
      </c>
      <c r="P98" s="3">
        <f t="shared" si="10"/>
        <v>0</v>
      </c>
      <c r="Q98" s="3">
        <f t="shared" si="10"/>
        <v>0</v>
      </c>
      <c r="R98" s="50">
        <f t="shared" si="10"/>
        <v>0</v>
      </c>
      <c r="S98" s="3">
        <f t="shared" si="10"/>
        <v>0</v>
      </c>
      <c r="T98" s="3"/>
      <c r="U98" s="32"/>
      <c r="V98" s="21">
        <f>SUM(V95:V97)</f>
        <v>1.3037199999999998</v>
      </c>
    </row>
    <row r="99" spans="1:23" s="26" customFormat="1" ht="25.5" x14ac:dyDescent="0.2">
      <c r="B99" s="69" t="s">
        <v>24</v>
      </c>
      <c r="C99" s="5" t="s">
        <v>105</v>
      </c>
      <c r="D99" s="196">
        <v>30</v>
      </c>
      <c r="E99" s="196">
        <v>30</v>
      </c>
      <c r="F99" s="3">
        <v>1.54</v>
      </c>
      <c r="G99" s="3">
        <v>0.6</v>
      </c>
      <c r="H99" s="3">
        <v>9.9600000000000009</v>
      </c>
      <c r="I99" s="3">
        <v>52.4</v>
      </c>
      <c r="J99" s="7">
        <v>25.4</v>
      </c>
      <c r="K99" s="3">
        <v>5.2</v>
      </c>
      <c r="L99" s="3">
        <v>7</v>
      </c>
      <c r="M99" s="7">
        <v>16.600000000000001</v>
      </c>
      <c r="N99" s="3">
        <v>0.32</v>
      </c>
      <c r="O99" s="3">
        <v>0</v>
      </c>
      <c r="P99" s="3">
        <v>3.2000000000000001E-2</v>
      </c>
      <c r="Q99" s="3">
        <v>1.6E-2</v>
      </c>
      <c r="R99" s="3">
        <v>0.308</v>
      </c>
      <c r="S99" s="3">
        <v>0</v>
      </c>
      <c r="T99" s="69">
        <v>29.29</v>
      </c>
      <c r="U99" s="96">
        <v>0.58584000000000003</v>
      </c>
      <c r="V99" s="84"/>
    </row>
    <row r="100" spans="1:23" s="26" customFormat="1" ht="28.5" customHeight="1" x14ac:dyDescent="0.2">
      <c r="B100" s="69"/>
      <c r="C100" s="3" t="s">
        <v>164</v>
      </c>
      <c r="D100" s="159"/>
      <c r="E100" s="159"/>
      <c r="F100" s="3">
        <v>30.317350000000001</v>
      </c>
      <c r="G100" s="3">
        <v>29.9864</v>
      </c>
      <c r="H100" s="3">
        <v>105.1669</v>
      </c>
      <c r="I100" s="3">
        <v>857.90599999999995</v>
      </c>
      <c r="J100" s="3">
        <v>915.04</v>
      </c>
      <c r="K100" s="3">
        <v>65.564999999999998</v>
      </c>
      <c r="L100" s="3">
        <v>83.597999999999999</v>
      </c>
      <c r="M100" s="3">
        <v>316.44049999999999</v>
      </c>
      <c r="N100" s="3">
        <v>8.1491500000000006</v>
      </c>
      <c r="O100" s="3">
        <v>0.11069</v>
      </c>
      <c r="P100" s="3">
        <v>0.53471500000000005</v>
      </c>
      <c r="Q100" s="3">
        <v>0.35713</v>
      </c>
      <c r="R100" s="3">
        <v>10.23165</v>
      </c>
      <c r="S100" s="3">
        <v>21.312000000000001</v>
      </c>
      <c r="U100" s="165">
        <v>26</v>
      </c>
      <c r="V100" s="21">
        <v>26</v>
      </c>
    </row>
    <row r="101" spans="1:23" x14ac:dyDescent="0.2">
      <c r="B101" s="69"/>
      <c r="C101" s="196" t="s">
        <v>56</v>
      </c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70"/>
      <c r="S101" s="69"/>
      <c r="T101" s="69"/>
      <c r="U101" s="96"/>
      <c r="V101" s="84"/>
    </row>
    <row r="102" spans="1:23" x14ac:dyDescent="0.2">
      <c r="B102" s="69"/>
      <c r="C102" s="196" t="s">
        <v>163</v>
      </c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70"/>
      <c r="S102" s="69"/>
      <c r="T102" s="69"/>
      <c r="U102" s="96"/>
      <c r="V102" s="84"/>
    </row>
    <row r="103" spans="1:23" ht="31.5" x14ac:dyDescent="0.2">
      <c r="B103" s="70" t="s">
        <v>95</v>
      </c>
      <c r="C103" s="259" t="s">
        <v>93</v>
      </c>
      <c r="D103" s="167"/>
      <c r="E103" s="167">
        <v>80</v>
      </c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3"/>
      <c r="U103" s="96"/>
      <c r="V103" s="69"/>
    </row>
    <row r="104" spans="1:23" x14ac:dyDescent="0.2">
      <c r="B104" s="70"/>
      <c r="C104" s="173" t="s">
        <v>94</v>
      </c>
      <c r="D104" s="167">
        <v>136</v>
      </c>
      <c r="E104" s="167">
        <v>56</v>
      </c>
      <c r="F104" s="84">
        <v>10.472</v>
      </c>
      <c r="G104" s="84">
        <v>9.016</v>
      </c>
      <c r="H104" s="84">
        <v>0</v>
      </c>
      <c r="I104" s="84">
        <v>123.2</v>
      </c>
      <c r="J104" s="84">
        <v>132.19999999999999</v>
      </c>
      <c r="K104" s="84">
        <v>7.84</v>
      </c>
      <c r="L104" s="84">
        <v>10.64</v>
      </c>
      <c r="M104" s="84">
        <v>89.6</v>
      </c>
      <c r="N104" s="84">
        <v>0.72799999999999998</v>
      </c>
      <c r="O104" s="84">
        <v>2.24E-2</v>
      </c>
      <c r="P104" s="84">
        <v>5.04E-2</v>
      </c>
      <c r="Q104" s="84">
        <v>8.4000000000000005E-2</v>
      </c>
      <c r="R104" s="84">
        <v>3.4159999999999999</v>
      </c>
      <c r="S104" s="84">
        <v>1.1200000000000001</v>
      </c>
      <c r="T104" s="3">
        <v>110.79</v>
      </c>
      <c r="U104" s="96">
        <v>15.06744</v>
      </c>
      <c r="V104" s="96">
        <v>15.06744</v>
      </c>
    </row>
    <row r="105" spans="1:23" s="67" customFormat="1" x14ac:dyDescent="0.2">
      <c r="A105" s="154"/>
      <c r="B105" s="70"/>
      <c r="C105" s="173" t="s">
        <v>81</v>
      </c>
      <c r="D105" s="167">
        <v>12.8</v>
      </c>
      <c r="E105" s="167">
        <v>12.8</v>
      </c>
      <c r="F105" s="84">
        <v>0.98560000000000003</v>
      </c>
      <c r="G105" s="84">
        <v>0.38400000000000001</v>
      </c>
      <c r="H105" s="84">
        <v>6.3743999999999996</v>
      </c>
      <c r="I105" s="84">
        <v>33.536000000000001</v>
      </c>
      <c r="J105" s="84">
        <v>16.3</v>
      </c>
      <c r="K105" s="84">
        <v>3.3279999999999998</v>
      </c>
      <c r="L105" s="84">
        <v>4.4800000000000004</v>
      </c>
      <c r="M105" s="84">
        <v>10.6</v>
      </c>
      <c r="N105" s="84">
        <v>0.20480000000000001</v>
      </c>
      <c r="O105" s="84">
        <v>0</v>
      </c>
      <c r="P105" s="84">
        <v>2.0480000000000002E-2</v>
      </c>
      <c r="Q105" s="84">
        <v>1.0240000000000001E-2</v>
      </c>
      <c r="R105" s="84">
        <v>0.19711999999999999</v>
      </c>
      <c r="S105" s="84">
        <v>0</v>
      </c>
      <c r="T105" s="3">
        <v>29.92</v>
      </c>
      <c r="U105" s="96">
        <v>0.38297599999999998</v>
      </c>
      <c r="V105" s="96">
        <v>0.38297599999999998</v>
      </c>
      <c r="W105" s="154"/>
    </row>
    <row r="106" spans="1:23" x14ac:dyDescent="0.2">
      <c r="B106" s="70"/>
      <c r="C106" s="173" t="s">
        <v>87</v>
      </c>
      <c r="D106" s="167">
        <v>3.2</v>
      </c>
      <c r="E106" s="167">
        <v>3.2</v>
      </c>
      <c r="F106" s="84">
        <v>0.59840000000000004</v>
      </c>
      <c r="G106" s="84">
        <v>0.51519999999999999</v>
      </c>
      <c r="H106" s="84">
        <v>0</v>
      </c>
      <c r="I106" s="84">
        <v>7.04</v>
      </c>
      <c r="J106" s="84">
        <v>7.6</v>
      </c>
      <c r="K106" s="84">
        <v>0.44800000000000001</v>
      </c>
      <c r="L106" s="84">
        <v>0.60799999999999998</v>
      </c>
      <c r="M106" s="84">
        <v>5.12</v>
      </c>
      <c r="N106" s="84">
        <v>4.1599999999999998E-2</v>
      </c>
      <c r="O106" s="84">
        <v>1.2800000000000001E-3</v>
      </c>
      <c r="P106" s="84">
        <v>2.8800000000000002E-3</v>
      </c>
      <c r="Q106" s="84">
        <v>4.7999999999999996E-3</v>
      </c>
      <c r="R106" s="84">
        <v>0.19520000000000001</v>
      </c>
      <c r="S106" s="84">
        <v>6.4000000000000001E-2</v>
      </c>
      <c r="T106" s="3">
        <v>0</v>
      </c>
      <c r="U106" s="96">
        <v>0</v>
      </c>
      <c r="V106" s="96">
        <v>0</v>
      </c>
    </row>
    <row r="107" spans="1:23" x14ac:dyDescent="0.2">
      <c r="B107" s="70"/>
      <c r="C107" s="173" t="s">
        <v>88</v>
      </c>
      <c r="D107" s="167">
        <v>19.2</v>
      </c>
      <c r="E107" s="167">
        <v>19.2</v>
      </c>
      <c r="F107" s="84">
        <v>0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3">
        <v>0</v>
      </c>
      <c r="U107" s="96">
        <v>0</v>
      </c>
      <c r="V107" s="96">
        <v>0</v>
      </c>
    </row>
    <row r="108" spans="1:23" x14ac:dyDescent="0.2">
      <c r="B108" s="70"/>
      <c r="C108" s="173" t="s">
        <v>82</v>
      </c>
      <c r="D108" s="167">
        <v>8</v>
      </c>
      <c r="E108" s="167">
        <v>8</v>
      </c>
      <c r="F108" s="84">
        <v>0.61599999999999999</v>
      </c>
      <c r="G108" s="84">
        <v>0.24</v>
      </c>
      <c r="H108" s="84">
        <v>3.984</v>
      </c>
      <c r="I108" s="84">
        <v>20.96</v>
      </c>
      <c r="J108" s="84">
        <v>10.199999999999999</v>
      </c>
      <c r="K108" s="84">
        <v>2.08</v>
      </c>
      <c r="L108" s="84">
        <v>2.8</v>
      </c>
      <c r="M108" s="84">
        <v>6.6</v>
      </c>
      <c r="N108" s="84">
        <v>0.128</v>
      </c>
      <c r="O108" s="84">
        <v>0</v>
      </c>
      <c r="P108" s="84">
        <v>1.2800000000000001E-2</v>
      </c>
      <c r="Q108" s="84">
        <v>6.4000000000000003E-3</v>
      </c>
      <c r="R108" s="84">
        <v>0.1232</v>
      </c>
      <c r="S108" s="84">
        <v>0</v>
      </c>
      <c r="T108" s="3">
        <v>29.92</v>
      </c>
      <c r="U108" s="96">
        <v>0.23935999999999999</v>
      </c>
      <c r="V108" s="96">
        <v>0.23935999999999999</v>
      </c>
    </row>
    <row r="109" spans="1:23" x14ac:dyDescent="0.2">
      <c r="B109" s="70"/>
      <c r="C109" s="173" t="s">
        <v>78</v>
      </c>
      <c r="D109" s="167">
        <v>4.8</v>
      </c>
      <c r="E109" s="167">
        <v>4.8</v>
      </c>
      <c r="F109" s="84">
        <v>0</v>
      </c>
      <c r="G109" s="84">
        <v>4.7952000000000004</v>
      </c>
      <c r="H109" s="84">
        <v>0</v>
      </c>
      <c r="I109" s="84">
        <v>43.152000000000001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3">
        <v>70.400000000000006</v>
      </c>
      <c r="U109" s="96">
        <v>0.33792</v>
      </c>
      <c r="V109" s="96">
        <v>0.33792</v>
      </c>
    </row>
    <row r="110" spans="1:23" x14ac:dyDescent="0.2">
      <c r="B110" s="70"/>
      <c r="C110" s="173" t="s">
        <v>46</v>
      </c>
      <c r="D110" s="167">
        <v>2.4</v>
      </c>
      <c r="E110" s="167">
        <v>2.4</v>
      </c>
      <c r="F110" s="84">
        <v>0</v>
      </c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3">
        <v>11.13</v>
      </c>
      <c r="U110" s="96">
        <v>2.6712E-2</v>
      </c>
      <c r="V110" s="96">
        <v>2.6712E-2</v>
      </c>
    </row>
    <row r="111" spans="1:23" x14ac:dyDescent="0.2">
      <c r="B111" s="70"/>
      <c r="C111" s="173" t="s">
        <v>77</v>
      </c>
      <c r="D111" s="167"/>
      <c r="E111" s="167"/>
      <c r="F111" s="84">
        <v>12.672000000000001</v>
      </c>
      <c r="G111" s="84">
        <v>14.9504</v>
      </c>
      <c r="H111" s="84">
        <v>10.3584</v>
      </c>
      <c r="I111" s="84">
        <v>227.88800000000001</v>
      </c>
      <c r="J111" s="84">
        <v>166.12799999999999</v>
      </c>
      <c r="K111" s="84">
        <v>13.696</v>
      </c>
      <c r="L111" s="84">
        <v>18.527999999999999</v>
      </c>
      <c r="M111" s="84">
        <v>111.98399999999999</v>
      </c>
      <c r="N111" s="84">
        <v>1.1024</v>
      </c>
      <c r="O111" s="84">
        <v>2.368E-2</v>
      </c>
      <c r="P111" s="84">
        <v>8.6559999999999998E-2</v>
      </c>
      <c r="Q111" s="84">
        <v>0.10544000000000001</v>
      </c>
      <c r="R111" s="84">
        <v>3.9315199999999999</v>
      </c>
      <c r="S111" s="84">
        <v>1.1839999999999999</v>
      </c>
      <c r="T111" s="3"/>
      <c r="U111" s="96">
        <v>16.054407999999999</v>
      </c>
      <c r="V111" s="96">
        <v>16.054407999999999</v>
      </c>
    </row>
    <row r="112" spans="1:23" x14ac:dyDescent="0.2">
      <c r="B112" s="136" t="s">
        <v>98</v>
      </c>
      <c r="C112" s="71" t="s">
        <v>99</v>
      </c>
      <c r="D112" s="34"/>
      <c r="E112" s="79">
        <v>75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69">
        <v>35.71</v>
      </c>
      <c r="U112" s="92"/>
      <c r="V112" s="84">
        <f t="shared" ref="V112:V121" si="11">D112*U112/1000</f>
        <v>0</v>
      </c>
    </row>
    <row r="113" spans="2:23" x14ac:dyDescent="0.2">
      <c r="B113" s="136"/>
      <c r="C113" s="30" t="s">
        <v>100</v>
      </c>
      <c r="D113" s="34">
        <v>75</v>
      </c>
      <c r="E113" s="34">
        <v>75</v>
      </c>
      <c r="F113" s="69">
        <v>0</v>
      </c>
      <c r="G113" s="69">
        <v>0</v>
      </c>
      <c r="H113" s="69">
        <v>0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  <c r="O113" s="69">
        <v>0</v>
      </c>
      <c r="P113" s="69">
        <v>0</v>
      </c>
      <c r="Q113" s="69">
        <v>0</v>
      </c>
      <c r="R113" s="69">
        <v>0</v>
      </c>
      <c r="S113" s="69">
        <v>0</v>
      </c>
      <c r="T113" s="69">
        <v>23.05</v>
      </c>
      <c r="U113" s="92">
        <v>0</v>
      </c>
      <c r="V113" s="84">
        <f t="shared" si="11"/>
        <v>0</v>
      </c>
    </row>
    <row r="114" spans="2:23" ht="25.5" x14ac:dyDescent="0.2">
      <c r="B114" s="136"/>
      <c r="C114" s="30" t="s">
        <v>34</v>
      </c>
      <c r="D114" s="34">
        <v>1.5</v>
      </c>
      <c r="E114" s="34">
        <v>1.5</v>
      </c>
      <c r="F114" s="69">
        <v>0</v>
      </c>
      <c r="G114" s="69">
        <f>99.9*E114/100</f>
        <v>1.4985000000000002</v>
      </c>
      <c r="H114" s="69">
        <v>0</v>
      </c>
      <c r="I114" s="69">
        <f>899*E114/100</f>
        <v>13.484999999999999</v>
      </c>
      <c r="J114" s="85">
        <v>0</v>
      </c>
      <c r="K114" s="69">
        <v>0</v>
      </c>
      <c r="L114" s="69">
        <v>0</v>
      </c>
      <c r="M114" s="85">
        <v>0</v>
      </c>
      <c r="N114" s="69">
        <v>0</v>
      </c>
      <c r="O114" s="69">
        <v>0</v>
      </c>
      <c r="P114" s="69">
        <v>0</v>
      </c>
      <c r="Q114" s="69">
        <v>0</v>
      </c>
      <c r="R114" s="69">
        <v>0</v>
      </c>
      <c r="S114" s="69">
        <v>0</v>
      </c>
      <c r="T114" s="69">
        <v>297.44</v>
      </c>
      <c r="U114" s="92">
        <v>83.43</v>
      </c>
      <c r="V114" s="84">
        <f t="shared" si="11"/>
        <v>0.12514500000000001</v>
      </c>
    </row>
    <row r="115" spans="2:23" x14ac:dyDescent="0.2">
      <c r="B115" s="136"/>
      <c r="C115" s="30" t="s">
        <v>38</v>
      </c>
      <c r="D115" s="34">
        <v>3.8</v>
      </c>
      <c r="E115" s="34">
        <v>3.8</v>
      </c>
      <c r="F115" s="69">
        <f>10.3*E115/100</f>
        <v>0.39140000000000003</v>
      </c>
      <c r="G115" s="69">
        <f>1.1*E115/100</f>
        <v>4.1799999999999997E-2</v>
      </c>
      <c r="H115" s="69">
        <f>69*E115/100</f>
        <v>2.6219999999999999</v>
      </c>
      <c r="I115" s="69">
        <f>334*E115/100</f>
        <v>12.692</v>
      </c>
      <c r="J115" s="85">
        <f>176*E115/100</f>
        <v>6.6879999999999997</v>
      </c>
      <c r="K115" s="69">
        <f>24*E115/100</f>
        <v>0.91199999999999992</v>
      </c>
      <c r="L115" s="69">
        <f>44*E115/100</f>
        <v>1.6719999999999999</v>
      </c>
      <c r="M115" s="85">
        <f>115*E115/100</f>
        <v>4.37</v>
      </c>
      <c r="N115" s="69">
        <f>2.1*E115/100</f>
        <v>7.9799999999999996E-2</v>
      </c>
      <c r="O115" s="69">
        <v>0</v>
      </c>
      <c r="P115" s="69">
        <v>0</v>
      </c>
      <c r="Q115" s="69">
        <v>0</v>
      </c>
      <c r="R115" s="69">
        <v>0</v>
      </c>
      <c r="S115" s="69">
        <v>0</v>
      </c>
      <c r="T115" s="69">
        <v>29.98</v>
      </c>
      <c r="U115" s="92">
        <v>27.31</v>
      </c>
      <c r="V115" s="84">
        <f t="shared" si="11"/>
        <v>0.103778</v>
      </c>
    </row>
    <row r="116" spans="2:23" x14ac:dyDescent="0.2">
      <c r="B116" s="136"/>
      <c r="C116" s="30" t="s">
        <v>36</v>
      </c>
      <c r="D116" s="34">
        <v>3</v>
      </c>
      <c r="E116" s="34">
        <v>3</v>
      </c>
      <c r="F116" s="34">
        <f>4.8*E116/100</f>
        <v>0.14399999999999999</v>
      </c>
      <c r="G116" s="34">
        <v>0</v>
      </c>
      <c r="H116" s="34">
        <f>19*E116/100</f>
        <v>0.56999999999999995</v>
      </c>
      <c r="I116" s="34">
        <f>102*E116/100</f>
        <v>3.06</v>
      </c>
      <c r="J116" s="34">
        <f>875*E116/100</f>
        <v>26.25</v>
      </c>
      <c r="K116" s="34">
        <f>20*E116/100</f>
        <v>0.6</v>
      </c>
      <c r="L116" s="34">
        <f>50*E116/100</f>
        <v>1.5</v>
      </c>
      <c r="M116" s="34">
        <f>68*E116/100</f>
        <v>2.04</v>
      </c>
      <c r="N116" s="34">
        <f>2.3*E116/100</f>
        <v>6.8999999999999992E-2</v>
      </c>
      <c r="O116" s="34">
        <v>0</v>
      </c>
      <c r="P116" s="34">
        <v>0</v>
      </c>
      <c r="Q116" s="34">
        <v>0</v>
      </c>
      <c r="R116" s="34">
        <v>0</v>
      </c>
      <c r="S116" s="34">
        <f>45*E116/100</f>
        <v>1.35</v>
      </c>
      <c r="T116" s="69">
        <v>11.03</v>
      </c>
      <c r="U116" s="92">
        <v>120</v>
      </c>
      <c r="V116" s="84">
        <f t="shared" si="11"/>
        <v>0.36</v>
      </c>
    </row>
    <row r="117" spans="2:23" x14ac:dyDescent="0.2">
      <c r="B117" s="136"/>
      <c r="C117" s="30" t="s">
        <v>32</v>
      </c>
      <c r="D117" s="34">
        <v>7.5</v>
      </c>
      <c r="E117" s="34">
        <v>6</v>
      </c>
      <c r="F117" s="34">
        <f>1.3*E117/100</f>
        <v>7.8000000000000014E-2</v>
      </c>
      <c r="G117" s="34">
        <v>0</v>
      </c>
      <c r="H117" s="34">
        <f>6.9*E117/100</f>
        <v>0.41400000000000003</v>
      </c>
      <c r="I117" s="34">
        <f>35*E117/100</f>
        <v>2.1</v>
      </c>
      <c r="J117" s="34">
        <f>200*E117/100</f>
        <v>12</v>
      </c>
      <c r="K117" s="34">
        <f>27*E117/100</f>
        <v>1.62</v>
      </c>
      <c r="L117" s="34">
        <f>38*E117/100</f>
        <v>2.2799999999999998</v>
      </c>
      <c r="M117" s="34">
        <f>55*E117/100</f>
        <v>3.3</v>
      </c>
      <c r="N117" s="34">
        <v>0</v>
      </c>
      <c r="O117" s="34">
        <v>0</v>
      </c>
      <c r="P117" s="34">
        <v>0</v>
      </c>
      <c r="Q117" s="34">
        <v>0</v>
      </c>
      <c r="R117" s="34">
        <f>1*E117/100</f>
        <v>0.06</v>
      </c>
      <c r="S117" s="34">
        <f>5*E117/100</f>
        <v>0.3</v>
      </c>
      <c r="T117" s="69"/>
      <c r="U117" s="92">
        <v>32.71</v>
      </c>
      <c r="V117" s="84">
        <f t="shared" si="11"/>
        <v>0.24532500000000002</v>
      </c>
    </row>
    <row r="118" spans="2:23" x14ac:dyDescent="0.2">
      <c r="B118" s="136"/>
      <c r="C118" s="30" t="s">
        <v>33</v>
      </c>
      <c r="D118" s="159">
        <v>1.8</v>
      </c>
      <c r="E118" s="160">
        <v>1.5</v>
      </c>
      <c r="F118" s="69">
        <f>1.4*E118/100</f>
        <v>2.0999999999999998E-2</v>
      </c>
      <c r="G118" s="157">
        <v>0</v>
      </c>
      <c r="H118" s="157">
        <f>8.2*E118/100</f>
        <v>0.12299999999999998</v>
      </c>
      <c r="I118" s="157">
        <f>41*E118/100</f>
        <v>0.61499999999999999</v>
      </c>
      <c r="J118" s="158">
        <f>175*E118/100</f>
        <v>2.625</v>
      </c>
      <c r="K118" s="157">
        <f>31*E118/100</f>
        <v>0.46500000000000002</v>
      </c>
      <c r="L118" s="157">
        <f>14*E118/100</f>
        <v>0.21</v>
      </c>
      <c r="M118" s="158">
        <f>58*E118/100</f>
        <v>0.87</v>
      </c>
      <c r="N118" s="157">
        <v>0</v>
      </c>
      <c r="O118" s="157">
        <v>0</v>
      </c>
      <c r="P118" s="157">
        <v>0</v>
      </c>
      <c r="Q118" s="157">
        <v>0</v>
      </c>
      <c r="R118" s="157">
        <v>0</v>
      </c>
      <c r="S118" s="157">
        <f>10*E118/100</f>
        <v>0.15</v>
      </c>
      <c r="T118" s="69"/>
      <c r="U118" s="92">
        <v>29.62</v>
      </c>
      <c r="V118" s="84">
        <f t="shared" si="11"/>
        <v>5.3316000000000002E-2</v>
      </c>
    </row>
    <row r="119" spans="2:23" s="26" customFormat="1" x14ac:dyDescent="0.2">
      <c r="B119" s="136"/>
      <c r="C119" s="30" t="s">
        <v>30</v>
      </c>
      <c r="D119" s="69">
        <v>1.1000000000000001</v>
      </c>
      <c r="E119" s="69">
        <v>1.1000000000000001</v>
      </c>
      <c r="F119" s="84">
        <v>0</v>
      </c>
      <c r="G119" s="84">
        <v>0</v>
      </c>
      <c r="H119" s="84">
        <f>99.8*E119/100</f>
        <v>1.0978000000000001</v>
      </c>
      <c r="I119" s="84">
        <f>379*E119/100</f>
        <v>4.1690000000000005</v>
      </c>
      <c r="J119" s="84">
        <f>3*E119/100</f>
        <v>3.3000000000000002E-2</v>
      </c>
      <c r="K119" s="84">
        <f>2*E119/100</f>
        <v>2.2000000000000002E-2</v>
      </c>
      <c r="L119" s="84">
        <v>0</v>
      </c>
      <c r="M119" s="84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69">
        <v>0</v>
      </c>
      <c r="U119" s="92">
        <v>50.97</v>
      </c>
      <c r="V119" s="84">
        <f t="shared" si="11"/>
        <v>5.6066999999999999E-2</v>
      </c>
    </row>
    <row r="120" spans="2:23" x14ac:dyDescent="0.2">
      <c r="B120" s="136"/>
      <c r="C120" s="30" t="s">
        <v>46</v>
      </c>
      <c r="D120" s="69">
        <v>0.75</v>
      </c>
      <c r="E120" s="69">
        <v>0.75</v>
      </c>
      <c r="F120" s="69">
        <v>0</v>
      </c>
      <c r="G120" s="69">
        <v>0</v>
      </c>
      <c r="H120" s="69">
        <v>0</v>
      </c>
      <c r="I120" s="69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69">
        <v>71.02</v>
      </c>
      <c r="U120" s="92">
        <v>11.63</v>
      </c>
      <c r="V120" s="84">
        <f t="shared" si="11"/>
        <v>8.7224999999999994E-3</v>
      </c>
    </row>
    <row r="121" spans="2:23" x14ac:dyDescent="0.2">
      <c r="B121" s="136"/>
      <c r="C121" s="76" t="s">
        <v>39</v>
      </c>
      <c r="D121" s="69">
        <v>1.4999999999999999E-2</v>
      </c>
      <c r="E121" s="69">
        <v>1.4999999999999999E-2</v>
      </c>
      <c r="F121" s="69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0</v>
      </c>
      <c r="O121" s="69">
        <v>0</v>
      </c>
      <c r="P121" s="69">
        <v>0</v>
      </c>
      <c r="Q121" s="69">
        <v>0</v>
      </c>
      <c r="R121" s="69">
        <v>0</v>
      </c>
      <c r="S121" s="69">
        <v>0</v>
      </c>
      <c r="T121" s="69">
        <v>24.11</v>
      </c>
      <c r="U121" s="92">
        <v>300</v>
      </c>
      <c r="V121" s="84">
        <f t="shared" si="11"/>
        <v>4.4999999999999997E-3</v>
      </c>
    </row>
    <row r="122" spans="2:23" x14ac:dyDescent="0.2">
      <c r="B122" s="136"/>
      <c r="C122" s="71" t="s">
        <v>77</v>
      </c>
      <c r="D122" s="69"/>
      <c r="E122" s="69"/>
      <c r="F122" s="3">
        <f>SUM(F113:F121)+F110+F111</f>
        <v>13.3064</v>
      </c>
      <c r="G122" s="3">
        <f t="shared" ref="G122:S122" si="12">SUM(G113:G121)+G110+G111</f>
        <v>16.4907</v>
      </c>
      <c r="H122" s="3">
        <f t="shared" si="12"/>
        <v>15.185199999999998</v>
      </c>
      <c r="I122" s="3">
        <f t="shared" si="12"/>
        <v>264.00900000000001</v>
      </c>
      <c r="J122" s="3">
        <f t="shared" si="12"/>
        <v>213.72399999999999</v>
      </c>
      <c r="K122" s="3">
        <f t="shared" si="12"/>
        <v>17.314999999999998</v>
      </c>
      <c r="L122" s="3">
        <f t="shared" si="12"/>
        <v>24.189999999999998</v>
      </c>
      <c r="M122" s="3">
        <f t="shared" si="12"/>
        <v>122.56399999999999</v>
      </c>
      <c r="N122" s="3">
        <f t="shared" si="12"/>
        <v>1.2512000000000001</v>
      </c>
      <c r="O122" s="3">
        <f t="shared" si="12"/>
        <v>2.368E-2</v>
      </c>
      <c r="P122" s="3">
        <f t="shared" si="12"/>
        <v>8.6559999999999998E-2</v>
      </c>
      <c r="Q122" s="3">
        <f t="shared" si="12"/>
        <v>0.10544000000000001</v>
      </c>
      <c r="R122" s="3">
        <f t="shared" si="12"/>
        <v>3.99152</v>
      </c>
      <c r="S122" s="3">
        <f t="shared" si="12"/>
        <v>2.984</v>
      </c>
      <c r="T122" s="69">
        <v>160.44999999999999</v>
      </c>
      <c r="U122" s="92"/>
      <c r="V122" s="21">
        <f>V110+V111+V114+V115+V116+V117+V118+V119+V120+V121</f>
        <v>17.037973499999996</v>
      </c>
    </row>
    <row r="123" spans="2:23" x14ac:dyDescent="0.2">
      <c r="B123" s="69" t="s">
        <v>57</v>
      </c>
      <c r="C123" s="6" t="s">
        <v>58</v>
      </c>
      <c r="D123" s="69"/>
      <c r="E123" s="3">
        <v>150</v>
      </c>
      <c r="F123" s="3"/>
      <c r="G123" s="3"/>
      <c r="H123" s="3"/>
      <c r="I123" s="3"/>
      <c r="J123" s="3"/>
      <c r="K123" s="32"/>
      <c r="L123" s="7"/>
      <c r="M123" s="7"/>
      <c r="N123" s="3"/>
      <c r="O123" s="3"/>
      <c r="P123" s="3"/>
      <c r="Q123" s="3"/>
      <c r="R123" s="3"/>
      <c r="S123" s="32"/>
      <c r="T123" s="69"/>
      <c r="U123" s="96"/>
      <c r="V123" s="84"/>
    </row>
    <row r="124" spans="2:23" x14ac:dyDescent="0.2">
      <c r="B124" s="69"/>
      <c r="C124" s="156" t="s">
        <v>31</v>
      </c>
      <c r="D124" s="84">
        <v>170.8</v>
      </c>
      <c r="E124" s="84">
        <v>128.30000000000001</v>
      </c>
      <c r="F124" s="69">
        <f>2*E124/100</f>
        <v>2.5660000000000003</v>
      </c>
      <c r="G124" s="69">
        <f>0.4*E124/100</f>
        <v>0.5132000000000001</v>
      </c>
      <c r="H124" s="69">
        <f>16.3*E124/100</f>
        <v>20.912900000000004</v>
      </c>
      <c r="I124" s="69">
        <f>77*E124/100</f>
        <v>98.790999999999997</v>
      </c>
      <c r="J124" s="69">
        <f>568*E124/100</f>
        <v>728.74400000000014</v>
      </c>
      <c r="K124" s="69">
        <f>10*E124/100</f>
        <v>12.83</v>
      </c>
      <c r="L124" s="69">
        <f>23*E124/100</f>
        <v>29.509</v>
      </c>
      <c r="M124" s="69">
        <f>58*E124/100</f>
        <v>74.414000000000001</v>
      </c>
      <c r="N124" s="69">
        <f>0.9*E124/100</f>
        <v>1.1547000000000001</v>
      </c>
      <c r="O124" s="69">
        <v>0</v>
      </c>
      <c r="P124" s="69">
        <f>0.12*E124/100</f>
        <v>0.15396000000000001</v>
      </c>
      <c r="Q124" s="69">
        <f>0.07*E124/100</f>
        <v>8.9810000000000015E-2</v>
      </c>
      <c r="R124" s="69">
        <f>1.3*E124/100</f>
        <v>1.6679000000000002</v>
      </c>
      <c r="S124" s="69">
        <f>20*E124/100</f>
        <v>25.66</v>
      </c>
      <c r="T124" s="69"/>
      <c r="U124" s="96">
        <v>36.76</v>
      </c>
      <c r="V124" s="84">
        <f>D124*U124/1000</f>
        <v>6.2786080000000002</v>
      </c>
    </row>
    <row r="125" spans="2:23" x14ac:dyDescent="0.2">
      <c r="B125" s="69"/>
      <c r="C125" s="156" t="s">
        <v>37</v>
      </c>
      <c r="D125" s="84">
        <v>5</v>
      </c>
      <c r="E125" s="84">
        <v>5</v>
      </c>
      <c r="F125" s="69">
        <f>0.8*E125/100</f>
        <v>0.04</v>
      </c>
      <c r="G125" s="69">
        <f>72.5*E125/100</f>
        <v>3.625</v>
      </c>
      <c r="H125" s="69">
        <f>1.3*E125/100</f>
        <v>6.5000000000000002E-2</v>
      </c>
      <c r="I125" s="69">
        <f>661*E125/100</f>
        <v>33.049999999999997</v>
      </c>
      <c r="J125" s="86">
        <f>23*E125/100</f>
        <v>1.1499999999999999</v>
      </c>
      <c r="K125" s="69">
        <f>22*E125/100</f>
        <v>1.1000000000000001</v>
      </c>
      <c r="L125" s="69">
        <f>3*E125/100</f>
        <v>0.15</v>
      </c>
      <c r="M125" s="85">
        <f>19*E125/100</f>
        <v>0.95</v>
      </c>
      <c r="N125" s="69">
        <f>0.2*E125/100</f>
        <v>0.01</v>
      </c>
      <c r="O125" s="69">
        <f>0.5*E125/100</f>
        <v>2.5000000000000001E-2</v>
      </c>
      <c r="P125" s="69">
        <f>0</f>
        <v>0</v>
      </c>
      <c r="Q125" s="96">
        <f>0.01*E125/1000</f>
        <v>5.0000000000000002E-5</v>
      </c>
      <c r="R125" s="69">
        <f>0.1*E125/100</f>
        <v>5.0000000000000001E-3</v>
      </c>
      <c r="S125" s="69">
        <f>0</f>
        <v>0</v>
      </c>
      <c r="T125" s="69"/>
      <c r="U125" s="96">
        <v>337.78</v>
      </c>
      <c r="V125" s="84">
        <f>D125*U125/1000</f>
        <v>1.6888999999999998</v>
      </c>
      <c r="W125" s="81"/>
    </row>
    <row r="126" spans="2:23" x14ac:dyDescent="0.2">
      <c r="B126" s="69"/>
      <c r="C126" s="156" t="s">
        <v>29</v>
      </c>
      <c r="D126" s="84">
        <v>23.6</v>
      </c>
      <c r="E126" s="84">
        <v>22.5</v>
      </c>
      <c r="F126" s="34">
        <f>2.8*D126/100</f>
        <v>0.66079999999999994</v>
      </c>
      <c r="G126" s="34">
        <f>3.2*D126/100</f>
        <v>0.75520000000000009</v>
      </c>
      <c r="H126" s="34">
        <f>4.7*D126/100</f>
        <v>1.1092000000000002</v>
      </c>
      <c r="I126" s="34">
        <f>5.8*D126/100</f>
        <v>1.3688</v>
      </c>
      <c r="J126" s="34">
        <f>146*D126/100</f>
        <v>34.456000000000003</v>
      </c>
      <c r="K126" s="34">
        <f>120*D126/100</f>
        <v>28.32</v>
      </c>
      <c r="L126" s="34">
        <f>114*D126/100</f>
        <v>26.904</v>
      </c>
      <c r="M126" s="34">
        <f>0.1*D126/100</f>
        <v>2.3600000000000003E-2</v>
      </c>
      <c r="N126" s="34">
        <f>0.1*D126/100</f>
        <v>2.3600000000000003E-2</v>
      </c>
      <c r="O126" s="34">
        <f>0.02*D126/100</f>
        <v>4.7200000000000002E-3</v>
      </c>
      <c r="P126" s="34">
        <f>0.04*D126/100</f>
        <v>9.4400000000000005E-3</v>
      </c>
      <c r="Q126" s="34">
        <f>0.15*D126/100</f>
        <v>3.5400000000000001E-2</v>
      </c>
      <c r="R126" s="34">
        <f>0.1*D126/100</f>
        <v>2.3600000000000003E-2</v>
      </c>
      <c r="S126" s="34">
        <f>1.3*D126/100</f>
        <v>0.30680000000000002</v>
      </c>
      <c r="T126" s="69"/>
      <c r="U126" s="96">
        <v>41.53</v>
      </c>
      <c r="V126" s="84">
        <f>D126*U126/1000</f>
        <v>0.98010800000000009</v>
      </c>
      <c r="W126" s="81"/>
    </row>
    <row r="127" spans="2:23" x14ac:dyDescent="0.2">
      <c r="B127" s="69"/>
      <c r="C127" s="156" t="s">
        <v>46</v>
      </c>
      <c r="D127" s="84">
        <v>1.8</v>
      </c>
      <c r="E127" s="84">
        <v>1.8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69">
        <v>0</v>
      </c>
      <c r="O127" s="69">
        <v>0</v>
      </c>
      <c r="P127" s="69">
        <v>0</v>
      </c>
      <c r="Q127" s="69">
        <v>0</v>
      </c>
      <c r="R127" s="69">
        <v>0</v>
      </c>
      <c r="S127" s="69">
        <v>0</v>
      </c>
      <c r="T127" s="69"/>
      <c r="U127" s="96">
        <v>11.63</v>
      </c>
      <c r="V127" s="84">
        <f>D127*U127/1000</f>
        <v>2.0934000000000001E-2</v>
      </c>
      <c r="W127" s="81"/>
    </row>
    <row r="128" spans="2:23" x14ac:dyDescent="0.2">
      <c r="B128" s="69"/>
      <c r="C128" s="39" t="s">
        <v>47</v>
      </c>
      <c r="D128" s="3"/>
      <c r="E128" s="3"/>
      <c r="F128" s="3">
        <f>SUM(F124:F127)</f>
        <v>3.2668000000000004</v>
      </c>
      <c r="G128" s="3">
        <f>SUM(G124:G127)</f>
        <v>4.8934000000000006</v>
      </c>
      <c r="H128" s="3">
        <f t="shared" ref="H128:S128" si="13">SUM(H124:H127)</f>
        <v>22.087100000000007</v>
      </c>
      <c r="I128" s="3">
        <f t="shared" si="13"/>
        <v>133.2098</v>
      </c>
      <c r="J128" s="3">
        <f t="shared" si="13"/>
        <v>764.35000000000014</v>
      </c>
      <c r="K128" s="3">
        <f t="shared" si="13"/>
        <v>42.25</v>
      </c>
      <c r="L128" s="3">
        <f t="shared" si="13"/>
        <v>56.563000000000002</v>
      </c>
      <c r="M128" s="3">
        <f t="shared" si="13"/>
        <v>75.387600000000006</v>
      </c>
      <c r="N128" s="3">
        <f t="shared" si="13"/>
        <v>1.1883000000000001</v>
      </c>
      <c r="O128" s="3">
        <f t="shared" si="13"/>
        <v>2.9720000000000003E-2</v>
      </c>
      <c r="P128" s="3">
        <f t="shared" si="13"/>
        <v>0.16340000000000002</v>
      </c>
      <c r="Q128" s="3">
        <f t="shared" si="13"/>
        <v>0.12526000000000001</v>
      </c>
      <c r="R128" s="3">
        <f t="shared" si="13"/>
        <v>1.6965000000000001</v>
      </c>
      <c r="S128" s="3">
        <f t="shared" si="13"/>
        <v>25.966799999999999</v>
      </c>
      <c r="T128" s="69"/>
      <c r="U128" s="96"/>
      <c r="V128" s="21">
        <f>SUM(V124:V127)</f>
        <v>8.9685500000000005</v>
      </c>
    </row>
    <row r="129" spans="2:23" x14ac:dyDescent="0.2">
      <c r="B129" s="69" t="s">
        <v>73</v>
      </c>
      <c r="C129" s="5" t="s">
        <v>74</v>
      </c>
      <c r="D129" s="313" t="s">
        <v>75</v>
      </c>
      <c r="E129" s="31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50"/>
      <c r="S129" s="3"/>
      <c r="T129" s="69"/>
      <c r="U129" s="96"/>
      <c r="V129" s="84"/>
    </row>
    <row r="130" spans="2:23" x14ac:dyDescent="0.2">
      <c r="B130" s="69"/>
      <c r="C130" s="65" t="s">
        <v>40</v>
      </c>
      <c r="D130" s="159">
        <v>50</v>
      </c>
      <c r="E130" s="159">
        <v>50</v>
      </c>
      <c r="F130" s="69">
        <v>0.1</v>
      </c>
      <c r="G130" s="69">
        <v>0</v>
      </c>
      <c r="H130" s="69">
        <v>0</v>
      </c>
      <c r="I130" s="69">
        <v>0.8</v>
      </c>
      <c r="J130" s="85">
        <v>12.4</v>
      </c>
      <c r="K130" s="69">
        <v>2.5</v>
      </c>
      <c r="L130" s="69">
        <v>2.2000000000000002</v>
      </c>
      <c r="M130" s="85">
        <v>4.12</v>
      </c>
      <c r="N130" s="69">
        <v>0.4</v>
      </c>
      <c r="O130" s="69">
        <v>0</v>
      </c>
      <c r="P130" s="69">
        <v>0</v>
      </c>
      <c r="Q130" s="69">
        <v>0</v>
      </c>
      <c r="R130" s="70">
        <v>0</v>
      </c>
      <c r="S130" s="69">
        <v>0</v>
      </c>
      <c r="T130" s="69"/>
      <c r="U130" s="96">
        <v>539.16999999999996</v>
      </c>
      <c r="V130" s="84">
        <f>1*U130/1000</f>
        <v>0.53916999999999993</v>
      </c>
    </row>
    <row r="131" spans="2:23" x14ac:dyDescent="0.2">
      <c r="B131" s="69"/>
      <c r="C131" s="65" t="s">
        <v>30</v>
      </c>
      <c r="D131" s="159">
        <v>15</v>
      </c>
      <c r="E131" s="159">
        <v>15</v>
      </c>
      <c r="F131" s="69">
        <v>0</v>
      </c>
      <c r="G131" s="69">
        <v>0</v>
      </c>
      <c r="H131" s="69">
        <v>15</v>
      </c>
      <c r="I131" s="69">
        <v>56.9</v>
      </c>
      <c r="J131" s="85">
        <v>0.5</v>
      </c>
      <c r="K131" s="69">
        <v>0.4</v>
      </c>
      <c r="L131" s="69">
        <v>0</v>
      </c>
      <c r="M131" s="85">
        <v>0</v>
      </c>
      <c r="N131" s="69">
        <v>0</v>
      </c>
      <c r="O131" s="69">
        <v>0</v>
      </c>
      <c r="P131" s="69">
        <v>0</v>
      </c>
      <c r="Q131" s="69">
        <v>0</v>
      </c>
      <c r="R131" s="70">
        <v>0</v>
      </c>
      <c r="S131" s="69">
        <v>0</v>
      </c>
      <c r="T131" s="69"/>
      <c r="U131" s="96">
        <v>50.97</v>
      </c>
      <c r="V131" s="84">
        <f>D131*U131/1000</f>
        <v>0.76454999999999995</v>
      </c>
    </row>
    <row r="132" spans="2:23" x14ac:dyDescent="0.2">
      <c r="B132" s="69"/>
      <c r="C132" s="65" t="s">
        <v>35</v>
      </c>
      <c r="D132" s="159">
        <v>150</v>
      </c>
      <c r="E132" s="159">
        <v>150</v>
      </c>
      <c r="F132" s="69">
        <v>0</v>
      </c>
      <c r="G132" s="69">
        <v>0</v>
      </c>
      <c r="H132" s="69">
        <v>0</v>
      </c>
      <c r="I132" s="69">
        <v>0</v>
      </c>
      <c r="J132" s="69">
        <v>0</v>
      </c>
      <c r="K132" s="69">
        <v>0</v>
      </c>
      <c r="L132" s="69">
        <v>0</v>
      </c>
      <c r="M132" s="69">
        <v>0</v>
      </c>
      <c r="N132" s="69">
        <v>0</v>
      </c>
      <c r="O132" s="69">
        <v>0</v>
      </c>
      <c r="P132" s="69">
        <v>0</v>
      </c>
      <c r="Q132" s="69">
        <v>0</v>
      </c>
      <c r="R132" s="70">
        <v>0</v>
      </c>
      <c r="S132" s="69">
        <v>0</v>
      </c>
      <c r="T132" s="69"/>
      <c r="U132" s="96">
        <v>0</v>
      </c>
      <c r="V132" s="84">
        <f>D132*U132/1000</f>
        <v>0</v>
      </c>
    </row>
    <row r="133" spans="2:23" x14ac:dyDescent="0.2">
      <c r="B133" s="69"/>
      <c r="C133" s="39" t="s">
        <v>47</v>
      </c>
      <c r="D133" s="196"/>
      <c r="E133" s="196"/>
      <c r="F133" s="3">
        <v>0.1</v>
      </c>
      <c r="G133" s="3">
        <v>0</v>
      </c>
      <c r="H133" s="3">
        <v>15</v>
      </c>
      <c r="I133" s="3">
        <v>57.7</v>
      </c>
      <c r="J133" s="3">
        <v>12.9</v>
      </c>
      <c r="K133" s="3">
        <v>2.9</v>
      </c>
      <c r="L133" s="3">
        <v>2.2000000000000002</v>
      </c>
      <c r="M133" s="3">
        <v>4.12</v>
      </c>
      <c r="N133" s="3">
        <v>0.4</v>
      </c>
      <c r="O133" s="3">
        <v>0</v>
      </c>
      <c r="P133" s="3">
        <v>0</v>
      </c>
      <c r="Q133" s="3">
        <v>0</v>
      </c>
      <c r="R133" s="3">
        <v>0</v>
      </c>
      <c r="S133" s="26">
        <v>0</v>
      </c>
      <c r="T133" s="3"/>
      <c r="U133" s="32"/>
      <c r="V133" s="21">
        <f>SUM(V130:V132)</f>
        <v>1.3037199999999998</v>
      </c>
    </row>
    <row r="134" spans="2:23" ht="25.5" x14ac:dyDescent="0.2">
      <c r="B134" s="69" t="s">
        <v>24</v>
      </c>
      <c r="C134" s="5" t="s">
        <v>105</v>
      </c>
      <c r="D134" s="3">
        <v>30</v>
      </c>
      <c r="E134" s="3">
        <v>30</v>
      </c>
      <c r="F134" s="69">
        <f>7.7*E134/100</f>
        <v>2.31</v>
      </c>
      <c r="G134" s="69">
        <f>3*E134/100</f>
        <v>0.9</v>
      </c>
      <c r="H134" s="69">
        <f>49.8*E134/100</f>
        <v>14.94</v>
      </c>
      <c r="I134" s="69">
        <f>262*E134/100</f>
        <v>78.599999999999994</v>
      </c>
      <c r="J134" s="85">
        <f>127*E134/100</f>
        <v>38.1</v>
      </c>
      <c r="K134" s="69">
        <f>26*E134/100</f>
        <v>7.8</v>
      </c>
      <c r="L134" s="69">
        <f>35*E134/100</f>
        <v>10.5</v>
      </c>
      <c r="M134" s="85">
        <f>83*E134/100</f>
        <v>24.9</v>
      </c>
      <c r="N134" s="69">
        <f>1.6*E134/100</f>
        <v>0.48</v>
      </c>
      <c r="O134" s="69">
        <f>0</f>
        <v>0</v>
      </c>
      <c r="P134" s="69">
        <f>0.16*E134/100</f>
        <v>4.8000000000000001E-2</v>
      </c>
      <c r="Q134" s="69">
        <f>0.08*E134/100</f>
        <v>2.4E-2</v>
      </c>
      <c r="R134" s="69">
        <f>1.54*E134/100</f>
        <v>0.46200000000000002</v>
      </c>
      <c r="S134" s="69">
        <v>0</v>
      </c>
      <c r="T134" s="3"/>
      <c r="U134" s="32">
        <v>31.99</v>
      </c>
      <c r="V134" s="84">
        <f>E134*U134/1000</f>
        <v>0.95969999999999989</v>
      </c>
    </row>
    <row r="135" spans="2:23" x14ac:dyDescent="0.2">
      <c r="B135" s="169"/>
      <c r="C135" s="3" t="s">
        <v>164</v>
      </c>
      <c r="D135" s="159"/>
      <c r="E135" s="159"/>
      <c r="F135" s="3">
        <v>30.317350000000001</v>
      </c>
      <c r="G135" s="3">
        <v>29.9864</v>
      </c>
      <c r="H135" s="3">
        <v>105.1669</v>
      </c>
      <c r="I135" s="3">
        <v>857.90599999999995</v>
      </c>
      <c r="J135" s="3">
        <v>915.04</v>
      </c>
      <c r="K135" s="3">
        <v>65.564999999999998</v>
      </c>
      <c r="L135" s="3">
        <v>83.597999999999999</v>
      </c>
      <c r="M135" s="3">
        <v>316.44049999999999</v>
      </c>
      <c r="N135" s="3">
        <v>8.1491500000000006</v>
      </c>
      <c r="O135" s="3">
        <v>0.11069</v>
      </c>
      <c r="P135" s="3">
        <v>0.53471500000000005</v>
      </c>
      <c r="Q135" s="3">
        <v>0.35713</v>
      </c>
      <c r="R135" s="3">
        <v>10.23165</v>
      </c>
      <c r="S135" s="3">
        <v>21.312000000000001</v>
      </c>
      <c r="T135" s="26"/>
      <c r="U135" s="165">
        <v>26.3</v>
      </c>
      <c r="V135" s="21">
        <v>26.3</v>
      </c>
    </row>
    <row r="136" spans="2:23" x14ac:dyDescent="0.2">
      <c r="B136" s="69"/>
      <c r="C136" s="196" t="s">
        <v>59</v>
      </c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70"/>
      <c r="S136" s="69"/>
      <c r="T136" s="69"/>
      <c r="U136" s="96"/>
      <c r="V136" s="84"/>
    </row>
    <row r="137" spans="2:23" x14ac:dyDescent="0.2">
      <c r="B137" s="69"/>
      <c r="C137" s="196" t="s">
        <v>163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70"/>
      <c r="S137" s="69"/>
      <c r="T137" s="69"/>
      <c r="U137" s="96"/>
      <c r="V137" s="84"/>
    </row>
    <row r="138" spans="2:23" ht="25.5" x14ac:dyDescent="0.2">
      <c r="B138" s="69" t="s">
        <v>140</v>
      </c>
      <c r="C138" s="5" t="s">
        <v>139</v>
      </c>
      <c r="D138" s="69"/>
      <c r="E138" s="3">
        <v>140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26"/>
      <c r="U138" s="32"/>
      <c r="V138" s="96">
        <v>0.32860800000000001</v>
      </c>
      <c r="W138" s="81"/>
    </row>
    <row r="139" spans="2:23" x14ac:dyDescent="0.2">
      <c r="B139" s="69"/>
      <c r="C139" s="78" t="s">
        <v>141</v>
      </c>
      <c r="D139" s="69">
        <v>2</v>
      </c>
      <c r="E139" s="69">
        <v>80</v>
      </c>
      <c r="F139" s="36">
        <v>14.57</v>
      </c>
      <c r="G139" s="36">
        <v>25.05</v>
      </c>
      <c r="H139" s="36">
        <v>2.1280000000000001</v>
      </c>
      <c r="I139" s="36">
        <v>292.52</v>
      </c>
      <c r="J139" s="37">
        <v>10</v>
      </c>
      <c r="K139" s="36">
        <v>9</v>
      </c>
      <c r="L139" s="36">
        <v>3.5</v>
      </c>
      <c r="M139" s="36">
        <v>0.8</v>
      </c>
      <c r="N139" s="36">
        <v>12.3</v>
      </c>
      <c r="O139" s="36">
        <v>0.16</v>
      </c>
      <c r="P139" s="36">
        <v>0</v>
      </c>
      <c r="Q139" s="36">
        <v>0</v>
      </c>
      <c r="R139" s="36">
        <v>0</v>
      </c>
      <c r="S139" s="36">
        <v>0</v>
      </c>
      <c r="T139" s="26"/>
      <c r="U139" s="96">
        <v>5.5</v>
      </c>
      <c r="V139" s="96">
        <v>11</v>
      </c>
      <c r="W139" s="81"/>
    </row>
    <row r="140" spans="2:23" x14ac:dyDescent="0.2">
      <c r="B140" s="69"/>
      <c r="C140" s="65" t="s">
        <v>142</v>
      </c>
      <c r="D140" s="69">
        <v>30</v>
      </c>
      <c r="E140" s="69">
        <v>30</v>
      </c>
      <c r="F140" s="69">
        <v>1.4</v>
      </c>
      <c r="G140" s="69">
        <v>15.1</v>
      </c>
      <c r="H140" s="69">
        <v>2.35</v>
      </c>
      <c r="I140" s="69">
        <v>29</v>
      </c>
      <c r="J140" s="86">
        <v>73</v>
      </c>
      <c r="K140" s="69">
        <v>60</v>
      </c>
      <c r="L140" s="69">
        <v>7</v>
      </c>
      <c r="M140" s="85">
        <v>45</v>
      </c>
      <c r="N140" s="69">
        <v>0.05</v>
      </c>
      <c r="O140" s="69">
        <v>0.01</v>
      </c>
      <c r="P140" s="69">
        <v>0.02</v>
      </c>
      <c r="Q140" s="96">
        <v>0.35</v>
      </c>
      <c r="R140" s="69">
        <v>0.05</v>
      </c>
      <c r="S140" s="69">
        <v>0.8</v>
      </c>
      <c r="T140" s="26"/>
      <c r="U140" s="96">
        <v>55</v>
      </c>
      <c r="V140" s="96">
        <v>1.8149999999999999</v>
      </c>
    </row>
    <row r="141" spans="2:23" x14ac:dyDescent="0.2">
      <c r="B141" s="69"/>
      <c r="C141" s="65" t="s">
        <v>143</v>
      </c>
      <c r="D141" s="69">
        <v>16</v>
      </c>
      <c r="E141" s="69">
        <v>16</v>
      </c>
      <c r="F141" s="69">
        <v>0</v>
      </c>
      <c r="G141" s="69">
        <v>6.89</v>
      </c>
      <c r="H141" s="69">
        <v>0.12</v>
      </c>
      <c r="I141" s="69">
        <v>62.8</v>
      </c>
      <c r="J141" s="86">
        <v>2.19</v>
      </c>
      <c r="K141" s="69">
        <v>2.09</v>
      </c>
      <c r="L141" s="69">
        <v>0.28999999999999998</v>
      </c>
      <c r="M141" s="85">
        <v>1.81</v>
      </c>
      <c r="N141" s="69">
        <v>0</v>
      </c>
      <c r="O141" s="69">
        <v>0</v>
      </c>
      <c r="P141" s="69">
        <v>0</v>
      </c>
      <c r="Q141" s="96">
        <v>0</v>
      </c>
      <c r="R141" s="69">
        <v>0</v>
      </c>
      <c r="S141" s="69">
        <v>0</v>
      </c>
      <c r="T141" s="26"/>
      <c r="U141" s="96">
        <v>337.8</v>
      </c>
      <c r="V141" s="96">
        <v>5.4047999999999998</v>
      </c>
    </row>
    <row r="142" spans="2:23" x14ac:dyDescent="0.2">
      <c r="B142" s="69"/>
      <c r="C142" s="65" t="s">
        <v>144</v>
      </c>
      <c r="D142" s="69">
        <v>33</v>
      </c>
      <c r="E142" s="69">
        <v>32</v>
      </c>
      <c r="F142" s="69">
        <v>7.7</v>
      </c>
      <c r="G142" s="69">
        <v>16.73</v>
      </c>
      <c r="H142" s="69">
        <v>0</v>
      </c>
      <c r="I142" s="69">
        <v>182.7</v>
      </c>
      <c r="J142" s="86">
        <v>154</v>
      </c>
      <c r="K142" s="69">
        <v>24.5</v>
      </c>
      <c r="L142" s="69">
        <v>14</v>
      </c>
      <c r="M142" s="85">
        <v>111.3</v>
      </c>
      <c r="N142" s="69">
        <v>1.26</v>
      </c>
      <c r="O142" s="69">
        <v>0</v>
      </c>
      <c r="P142" s="69">
        <v>0</v>
      </c>
      <c r="Q142" s="96">
        <v>0</v>
      </c>
      <c r="R142" s="69">
        <v>0</v>
      </c>
      <c r="S142" s="69">
        <v>0</v>
      </c>
      <c r="T142" s="26"/>
      <c r="U142" s="96">
        <v>260</v>
      </c>
      <c r="V142" s="96">
        <v>8.58</v>
      </c>
    </row>
    <row r="143" spans="2:23" ht="15" customHeight="1" x14ac:dyDescent="0.2">
      <c r="B143" s="69"/>
      <c r="C143" s="65" t="s">
        <v>145</v>
      </c>
      <c r="D143" s="69">
        <v>2</v>
      </c>
      <c r="E143" s="69">
        <v>2</v>
      </c>
      <c r="F143" s="69">
        <v>0</v>
      </c>
      <c r="G143" s="69">
        <v>0</v>
      </c>
      <c r="H143" s="69">
        <v>0</v>
      </c>
      <c r="I143" s="69">
        <v>0</v>
      </c>
      <c r="J143" s="86">
        <v>0</v>
      </c>
      <c r="K143" s="69">
        <v>0</v>
      </c>
      <c r="L143" s="69">
        <v>0</v>
      </c>
      <c r="M143" s="85">
        <v>0</v>
      </c>
      <c r="N143" s="69">
        <v>0</v>
      </c>
      <c r="O143" s="69">
        <v>0</v>
      </c>
      <c r="P143" s="69">
        <v>0</v>
      </c>
      <c r="Q143" s="96">
        <v>0</v>
      </c>
      <c r="R143" s="69">
        <v>0</v>
      </c>
      <c r="S143" s="69">
        <v>0</v>
      </c>
      <c r="T143" s="26"/>
      <c r="U143" s="96">
        <v>11.63</v>
      </c>
      <c r="V143" s="96">
        <v>0.02</v>
      </c>
    </row>
    <row r="144" spans="2:23" ht="24" customHeight="1" x14ac:dyDescent="0.2">
      <c r="B144" s="69" t="s">
        <v>148</v>
      </c>
      <c r="C144" s="5" t="s">
        <v>147</v>
      </c>
      <c r="D144" s="69"/>
      <c r="E144" s="27">
        <v>50</v>
      </c>
      <c r="F144" s="69"/>
      <c r="G144" s="69"/>
      <c r="H144" s="69"/>
      <c r="I144" s="69"/>
      <c r="J144" s="86"/>
      <c r="K144" s="69"/>
      <c r="L144" s="69"/>
      <c r="M144" s="85"/>
      <c r="N144" s="69"/>
      <c r="O144" s="69"/>
      <c r="P144" s="69"/>
      <c r="Q144" s="96"/>
      <c r="R144" s="69"/>
      <c r="S144" s="69"/>
      <c r="T144" s="26"/>
      <c r="U144" s="96"/>
      <c r="V144" s="96"/>
    </row>
    <row r="145" spans="2:22" hidden="1" x14ac:dyDescent="0.2">
      <c r="B145" s="69"/>
      <c r="C145" s="39" t="s">
        <v>47</v>
      </c>
      <c r="D145" s="69"/>
      <c r="E145" s="69"/>
      <c r="F145" s="3">
        <f>F139+F140</f>
        <v>15.97</v>
      </c>
      <c r="G145" s="3">
        <f t="shared" ref="G145:S145" si="14">G139+G140</f>
        <v>40.15</v>
      </c>
      <c r="H145" s="3">
        <f t="shared" si="14"/>
        <v>4.4779999999999998</v>
      </c>
      <c r="I145" s="3">
        <f t="shared" si="14"/>
        <v>321.52</v>
      </c>
      <c r="J145" s="3">
        <f t="shared" si="14"/>
        <v>83</v>
      </c>
      <c r="K145" s="3">
        <f t="shared" si="14"/>
        <v>69</v>
      </c>
      <c r="L145" s="3">
        <f t="shared" si="14"/>
        <v>10.5</v>
      </c>
      <c r="M145" s="3">
        <f t="shared" si="14"/>
        <v>45.8</v>
      </c>
      <c r="N145" s="3">
        <f t="shared" si="14"/>
        <v>12.350000000000001</v>
      </c>
      <c r="O145" s="3">
        <f t="shared" si="14"/>
        <v>0.17</v>
      </c>
      <c r="P145" s="3">
        <f t="shared" si="14"/>
        <v>0.02</v>
      </c>
      <c r="Q145" s="3">
        <f t="shared" si="14"/>
        <v>0.35</v>
      </c>
      <c r="R145" s="3">
        <f t="shared" si="14"/>
        <v>0.05</v>
      </c>
      <c r="S145" s="3">
        <f t="shared" si="14"/>
        <v>0.8</v>
      </c>
      <c r="T145" s="26"/>
      <c r="U145" s="96"/>
      <c r="V145" s="96">
        <v>0</v>
      </c>
    </row>
    <row r="146" spans="2:22" x14ac:dyDescent="0.2">
      <c r="B146" s="69"/>
      <c r="C146" s="65" t="s">
        <v>149</v>
      </c>
      <c r="D146" s="69">
        <v>51.5</v>
      </c>
      <c r="E146" s="69">
        <v>50</v>
      </c>
      <c r="F146" s="69">
        <v>0.9</v>
      </c>
      <c r="G146" s="69">
        <v>0</v>
      </c>
      <c r="H146" s="3">
        <v>1.5</v>
      </c>
      <c r="I146" s="3">
        <v>11.5</v>
      </c>
      <c r="J146" s="3">
        <v>150</v>
      </c>
      <c r="K146" s="3">
        <v>24</v>
      </c>
      <c r="L146" s="3">
        <v>8</v>
      </c>
      <c r="M146" s="3">
        <v>15.5</v>
      </c>
      <c r="N146" s="3">
        <v>0.3</v>
      </c>
      <c r="O146" s="3">
        <v>0</v>
      </c>
      <c r="P146" s="3">
        <v>0.01</v>
      </c>
      <c r="Q146" s="3">
        <v>0.01</v>
      </c>
      <c r="R146" s="50">
        <v>0.2</v>
      </c>
      <c r="S146" s="3">
        <v>15</v>
      </c>
      <c r="T146" s="26"/>
      <c r="U146" s="96">
        <v>75</v>
      </c>
      <c r="V146" s="96">
        <v>3.8250000000000002</v>
      </c>
    </row>
    <row r="147" spans="2:22" x14ac:dyDescent="0.2">
      <c r="B147" s="69"/>
      <c r="C147" s="5" t="s">
        <v>106</v>
      </c>
      <c r="D147" s="69">
        <v>20</v>
      </c>
      <c r="E147" s="69">
        <v>20</v>
      </c>
      <c r="F147" s="69">
        <v>1.32</v>
      </c>
      <c r="G147" s="69">
        <v>0.24</v>
      </c>
      <c r="H147" s="69">
        <v>6.84</v>
      </c>
      <c r="I147" s="69">
        <v>36.200000000000003</v>
      </c>
      <c r="J147" s="69">
        <v>18.8</v>
      </c>
      <c r="K147" s="69">
        <v>6.8</v>
      </c>
      <c r="L147" s="69">
        <v>8.1999999999999993</v>
      </c>
      <c r="M147" s="69">
        <v>24</v>
      </c>
      <c r="N147" s="69">
        <v>0.46</v>
      </c>
      <c r="O147" s="69">
        <v>0</v>
      </c>
      <c r="P147" s="69">
        <v>2.1999999999999999E-2</v>
      </c>
      <c r="Q147" s="69">
        <v>1.6E-2</v>
      </c>
      <c r="R147" s="70">
        <v>0.128</v>
      </c>
      <c r="S147" s="69">
        <v>0</v>
      </c>
      <c r="T147" s="69">
        <v>35.9</v>
      </c>
      <c r="U147" s="96">
        <v>0.71799999999999997</v>
      </c>
      <c r="V147" s="32">
        <v>3.9330280000000002</v>
      </c>
    </row>
    <row r="148" spans="2:22" s="26" customFormat="1" ht="25.5" x14ac:dyDescent="0.2">
      <c r="B148" s="69"/>
      <c r="C148" s="5" t="s">
        <v>105</v>
      </c>
      <c r="D148" s="69">
        <v>30</v>
      </c>
      <c r="E148" s="69">
        <v>30</v>
      </c>
      <c r="F148" s="69">
        <f>7.7*E148/100</f>
        <v>2.31</v>
      </c>
      <c r="G148" s="69">
        <f>3*E148/100</f>
        <v>0.9</v>
      </c>
      <c r="H148" s="69">
        <f>49.8*E148/100</f>
        <v>14.94</v>
      </c>
      <c r="I148" s="69">
        <f>262*E148/100</f>
        <v>78.599999999999994</v>
      </c>
      <c r="J148" s="85">
        <f>127*E148/100</f>
        <v>38.1</v>
      </c>
      <c r="K148" s="69">
        <f>26*E148/100</f>
        <v>7.8</v>
      </c>
      <c r="L148" s="69">
        <f>35*E148/100</f>
        <v>10.5</v>
      </c>
      <c r="M148" s="85">
        <f>83*E148/100</f>
        <v>24.9</v>
      </c>
      <c r="N148" s="69">
        <f>1.6*E148/100</f>
        <v>0.48</v>
      </c>
      <c r="O148" s="69">
        <f>0</f>
        <v>0</v>
      </c>
      <c r="P148" s="69">
        <f>0.16*E148/100</f>
        <v>4.8000000000000001E-2</v>
      </c>
      <c r="Q148" s="69">
        <f>0.08*E148/100</f>
        <v>2.4E-2</v>
      </c>
      <c r="R148" s="69">
        <f>1.54*E148/100</f>
        <v>0.46200000000000002</v>
      </c>
      <c r="S148" s="69">
        <v>0</v>
      </c>
      <c r="T148" s="3"/>
      <c r="U148" s="96">
        <v>31.99</v>
      </c>
      <c r="V148" s="69">
        <f>D165*U165/1000</f>
        <v>0</v>
      </c>
    </row>
    <row r="149" spans="2:22" x14ac:dyDescent="0.2">
      <c r="B149" s="69" t="s">
        <v>24</v>
      </c>
      <c r="C149" s="5" t="s">
        <v>74</v>
      </c>
      <c r="D149" s="69" t="s">
        <v>75</v>
      </c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70"/>
      <c r="S149" s="69"/>
      <c r="T149" s="69"/>
      <c r="U149" s="96"/>
      <c r="V149" s="84"/>
    </row>
    <row r="150" spans="2:22" x14ac:dyDescent="0.2">
      <c r="B150" s="69" t="s">
        <v>73</v>
      </c>
      <c r="C150" s="65" t="s">
        <v>146</v>
      </c>
      <c r="D150" s="69">
        <v>50</v>
      </c>
      <c r="E150" s="69">
        <v>50</v>
      </c>
      <c r="F150" s="69">
        <v>0.1</v>
      </c>
      <c r="G150" s="69">
        <v>0</v>
      </c>
      <c r="H150" s="69">
        <v>0</v>
      </c>
      <c r="I150" s="69">
        <v>0.8</v>
      </c>
      <c r="J150" s="69">
        <v>12.4</v>
      </c>
      <c r="K150" s="69">
        <v>2.5</v>
      </c>
      <c r="L150" s="69">
        <v>2.2000000000000002</v>
      </c>
      <c r="M150" s="69">
        <v>4.0999999999999996</v>
      </c>
      <c r="N150" s="69">
        <v>0.4</v>
      </c>
      <c r="O150" s="69">
        <v>0</v>
      </c>
      <c r="P150" s="69">
        <v>0</v>
      </c>
      <c r="Q150" s="69">
        <v>0</v>
      </c>
      <c r="R150" s="70">
        <v>0</v>
      </c>
      <c r="S150" s="69">
        <v>0</v>
      </c>
      <c r="T150" s="69">
        <v>412</v>
      </c>
      <c r="U150" s="96">
        <v>0.41199999999999998</v>
      </c>
      <c r="V150" s="52">
        <v>17.8</v>
      </c>
    </row>
    <row r="151" spans="2:22" x14ac:dyDescent="0.2">
      <c r="B151" s="69"/>
      <c r="C151" s="39" t="s">
        <v>30</v>
      </c>
      <c r="D151" s="3">
        <v>15</v>
      </c>
      <c r="E151" s="3">
        <v>15</v>
      </c>
      <c r="F151" s="3">
        <v>0</v>
      </c>
      <c r="G151" s="3">
        <v>0</v>
      </c>
      <c r="H151" s="3">
        <v>15</v>
      </c>
      <c r="I151" s="3">
        <v>56.9</v>
      </c>
      <c r="J151" s="3">
        <v>0.5</v>
      </c>
      <c r="K151" s="3">
        <v>0.4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50">
        <v>0</v>
      </c>
      <c r="S151" s="3">
        <v>0</v>
      </c>
      <c r="T151" s="69">
        <v>35.159999999999997</v>
      </c>
      <c r="U151" s="96">
        <v>0.52739999999999998</v>
      </c>
      <c r="V151" s="135">
        <v>0</v>
      </c>
    </row>
    <row r="152" spans="2:22" x14ac:dyDescent="0.2">
      <c r="B152" s="69"/>
      <c r="C152" s="5" t="s">
        <v>35</v>
      </c>
      <c r="D152" s="3">
        <v>150</v>
      </c>
      <c r="E152" s="3">
        <v>150</v>
      </c>
      <c r="F152" s="69">
        <v>0</v>
      </c>
      <c r="G152" s="69">
        <v>0</v>
      </c>
      <c r="H152" s="69">
        <v>0</v>
      </c>
      <c r="I152" s="69">
        <v>0</v>
      </c>
      <c r="J152" s="85">
        <v>0</v>
      </c>
      <c r="K152" s="69">
        <v>0</v>
      </c>
      <c r="L152" s="69">
        <v>0</v>
      </c>
      <c r="M152" s="85">
        <v>0</v>
      </c>
      <c r="N152" s="69">
        <v>0</v>
      </c>
      <c r="O152" s="69">
        <v>0</v>
      </c>
      <c r="P152" s="69">
        <v>0</v>
      </c>
      <c r="Q152" s="69">
        <v>0</v>
      </c>
      <c r="R152" s="69">
        <v>0</v>
      </c>
      <c r="S152" s="69">
        <v>0</v>
      </c>
      <c r="T152" s="3">
        <v>0</v>
      </c>
      <c r="U152" s="32">
        <v>0</v>
      </c>
      <c r="V152" s="135">
        <v>0.372</v>
      </c>
    </row>
    <row r="153" spans="2:22" x14ac:dyDescent="0.2">
      <c r="B153" s="69"/>
      <c r="C153" s="5" t="s">
        <v>47</v>
      </c>
      <c r="D153" s="3"/>
      <c r="E153" s="3"/>
      <c r="F153" s="69">
        <v>0.1</v>
      </c>
      <c r="G153" s="69">
        <v>0</v>
      </c>
      <c r="H153" s="69">
        <v>15</v>
      </c>
      <c r="I153" s="69">
        <v>57.7</v>
      </c>
      <c r="J153" s="69">
        <v>12.9</v>
      </c>
      <c r="K153" s="69">
        <v>2.9</v>
      </c>
      <c r="L153" s="69">
        <v>2.2000000000000002</v>
      </c>
      <c r="M153" s="69">
        <v>4.12</v>
      </c>
      <c r="N153" s="69">
        <v>0.4</v>
      </c>
      <c r="O153" s="69">
        <v>0</v>
      </c>
      <c r="P153" s="69">
        <v>0</v>
      </c>
      <c r="Q153" s="69">
        <v>0</v>
      </c>
      <c r="R153" s="69">
        <v>0</v>
      </c>
      <c r="S153" s="69">
        <v>0</v>
      </c>
      <c r="T153" s="3"/>
      <c r="U153" s="32">
        <v>0.93940000000000001</v>
      </c>
      <c r="V153" s="135">
        <v>0.82899999999999996</v>
      </c>
    </row>
    <row r="154" spans="2:22" x14ac:dyDescent="0.2">
      <c r="B154" s="69"/>
      <c r="C154" s="42" t="s">
        <v>164</v>
      </c>
      <c r="D154" s="42"/>
      <c r="E154" s="42"/>
      <c r="F154" s="42">
        <v>28.915900000000001</v>
      </c>
      <c r="G154" s="42">
        <v>30.662700000000001</v>
      </c>
      <c r="H154" s="42">
        <v>88.719399999999993</v>
      </c>
      <c r="I154" s="42">
        <v>666.63760000000002</v>
      </c>
      <c r="J154" s="42">
        <v>786.74599999999998</v>
      </c>
      <c r="K154" s="42">
        <v>131.678</v>
      </c>
      <c r="L154" s="42">
        <v>135.65799999999999</v>
      </c>
      <c r="M154" s="42">
        <v>183.2825</v>
      </c>
      <c r="N154" s="42">
        <v>8.1952200000000008</v>
      </c>
      <c r="O154" s="42">
        <v>6.3E-2</v>
      </c>
      <c r="P154" s="42">
        <v>0.51873999999999998</v>
      </c>
      <c r="Q154" s="42">
        <v>0.33509100000000003</v>
      </c>
      <c r="R154" s="42">
        <v>6.69116</v>
      </c>
      <c r="S154" s="42">
        <v>45.122500000000002</v>
      </c>
      <c r="T154" s="42"/>
      <c r="U154" s="153">
        <v>33.19</v>
      </c>
      <c r="V154" s="135">
        <v>0.88400000000000001</v>
      </c>
    </row>
    <row r="155" spans="2:22" x14ac:dyDescent="0.2">
      <c r="B155" s="69"/>
      <c r="C155" s="196" t="s">
        <v>60</v>
      </c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70"/>
      <c r="S155" s="69"/>
      <c r="T155" s="69"/>
      <c r="U155" s="96"/>
      <c r="V155" s="84"/>
    </row>
    <row r="156" spans="2:22" x14ac:dyDescent="0.2">
      <c r="B156" s="69"/>
      <c r="C156" s="196" t="s">
        <v>163</v>
      </c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70"/>
      <c r="S156" s="69"/>
      <c r="T156" s="69"/>
      <c r="U156" s="96"/>
      <c r="V156" s="84"/>
    </row>
    <row r="157" spans="2:22" x14ac:dyDescent="0.2">
      <c r="B157" s="3" t="s">
        <v>110</v>
      </c>
      <c r="C157" s="137" t="s">
        <v>111</v>
      </c>
      <c r="D157" s="21"/>
      <c r="E157" s="21">
        <v>80</v>
      </c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96"/>
      <c r="U157" s="84"/>
      <c r="V157" s="84"/>
    </row>
    <row r="158" spans="2:22" x14ac:dyDescent="0.2">
      <c r="B158" s="57"/>
      <c r="C158" s="138" t="s">
        <v>112</v>
      </c>
      <c r="D158" s="157">
        <v>80</v>
      </c>
      <c r="E158" s="138">
        <v>59.2</v>
      </c>
      <c r="F158" s="138">
        <v>6.5449999999999999</v>
      </c>
      <c r="G158" s="138">
        <v>5.6349999999999998</v>
      </c>
      <c r="H158" s="138">
        <v>0</v>
      </c>
      <c r="I158" s="138">
        <v>77</v>
      </c>
      <c r="J158" s="138">
        <v>82.6</v>
      </c>
      <c r="K158" s="139">
        <v>4.9000000000000004</v>
      </c>
      <c r="L158" s="140">
        <v>6.7</v>
      </c>
      <c r="M158" s="140">
        <v>56</v>
      </c>
      <c r="N158" s="138">
        <v>0.45500000000000002</v>
      </c>
      <c r="O158" s="138">
        <v>0.01</v>
      </c>
      <c r="P158" s="138">
        <v>3.2000000000000001E-2</v>
      </c>
      <c r="Q158" s="138">
        <v>5.2999999999999999E-2</v>
      </c>
      <c r="R158" s="138">
        <v>2.1349999999999998</v>
      </c>
      <c r="S158" s="139">
        <v>0.7</v>
      </c>
      <c r="T158" s="174">
        <v>329.03</v>
      </c>
      <c r="U158" s="52">
        <v>17.8</v>
      </c>
      <c r="V158" s="52">
        <v>17.8</v>
      </c>
    </row>
    <row r="159" spans="2:22" x14ac:dyDescent="0.2">
      <c r="B159" s="57"/>
      <c r="C159" s="157" t="s">
        <v>68</v>
      </c>
      <c r="D159" s="157">
        <v>14.4</v>
      </c>
      <c r="E159" s="157">
        <v>11.4</v>
      </c>
      <c r="F159" s="157">
        <v>0.61599999999999999</v>
      </c>
      <c r="G159" s="157">
        <v>0.24</v>
      </c>
      <c r="H159" s="157">
        <v>3.984</v>
      </c>
      <c r="I159" s="157">
        <v>20.96</v>
      </c>
      <c r="J159" s="157">
        <v>10.199999999999999</v>
      </c>
      <c r="K159" s="158">
        <v>2.1</v>
      </c>
      <c r="L159" s="157">
        <v>2.8</v>
      </c>
      <c r="M159" s="158">
        <v>6.6</v>
      </c>
      <c r="N159" s="157">
        <v>0.128</v>
      </c>
      <c r="O159" s="157">
        <v>0</v>
      </c>
      <c r="P159" s="157">
        <v>1.2999999999999999E-2</v>
      </c>
      <c r="Q159" s="157">
        <v>6.0000000000000001E-3</v>
      </c>
      <c r="R159" s="157">
        <v>0.123</v>
      </c>
      <c r="S159" s="157">
        <v>0</v>
      </c>
      <c r="T159" s="174">
        <v>29.92</v>
      </c>
      <c r="U159" s="135">
        <v>0</v>
      </c>
      <c r="V159" s="135">
        <v>0</v>
      </c>
    </row>
    <row r="160" spans="2:22" x14ac:dyDescent="0.2">
      <c r="B160" s="57"/>
      <c r="C160" s="157" t="s">
        <v>113</v>
      </c>
      <c r="D160" s="157">
        <v>11.2</v>
      </c>
      <c r="E160" s="157">
        <v>11.2</v>
      </c>
      <c r="F160" s="157">
        <v>0.374</v>
      </c>
      <c r="G160" s="157">
        <v>0.32200000000000001</v>
      </c>
      <c r="H160" s="175">
        <v>0</v>
      </c>
      <c r="I160" s="157">
        <v>4.4000000000000004</v>
      </c>
      <c r="J160" s="176">
        <v>4.7</v>
      </c>
      <c r="K160" s="157">
        <v>0.28000000000000003</v>
      </c>
      <c r="L160" s="157">
        <v>0.38</v>
      </c>
      <c r="M160" s="157">
        <v>3.2</v>
      </c>
      <c r="N160" s="157">
        <v>2.5999999999999999E-2</v>
      </c>
      <c r="O160" s="157">
        <v>0</v>
      </c>
      <c r="P160" s="157">
        <v>2E-3</v>
      </c>
      <c r="Q160" s="157">
        <v>3.0000000000000001E-3</v>
      </c>
      <c r="R160" s="157">
        <v>0.122</v>
      </c>
      <c r="S160" s="157">
        <v>0.04</v>
      </c>
      <c r="T160" s="174">
        <v>36.83</v>
      </c>
      <c r="U160" s="135">
        <v>0.372</v>
      </c>
      <c r="V160" s="135">
        <v>0.372</v>
      </c>
    </row>
    <row r="161" spans="1:23" s="26" customFormat="1" x14ac:dyDescent="0.2">
      <c r="B161" s="57"/>
      <c r="C161" s="157" t="s">
        <v>104</v>
      </c>
      <c r="D161" s="157">
        <v>8</v>
      </c>
      <c r="E161" s="157">
        <v>8</v>
      </c>
      <c r="F161" s="157">
        <v>0</v>
      </c>
      <c r="G161" s="157">
        <v>0</v>
      </c>
      <c r="H161" s="157">
        <v>0</v>
      </c>
      <c r="I161" s="157">
        <v>0</v>
      </c>
      <c r="J161" s="157">
        <v>0</v>
      </c>
      <c r="K161" s="158">
        <v>0</v>
      </c>
      <c r="L161" s="157">
        <v>0</v>
      </c>
      <c r="M161" s="158">
        <v>0</v>
      </c>
      <c r="N161" s="157">
        <v>0</v>
      </c>
      <c r="O161" s="157">
        <v>0</v>
      </c>
      <c r="P161" s="157">
        <v>0</v>
      </c>
      <c r="Q161" s="157">
        <v>0</v>
      </c>
      <c r="R161" s="157">
        <v>0</v>
      </c>
      <c r="S161" s="157">
        <v>0</v>
      </c>
      <c r="T161" s="174">
        <v>29.92</v>
      </c>
      <c r="U161" s="135">
        <v>0.82899999999999996</v>
      </c>
      <c r="V161" s="135">
        <v>0.82899999999999996</v>
      </c>
    </row>
    <row r="162" spans="1:23" s="26" customFormat="1" x14ac:dyDescent="0.2">
      <c r="B162" s="57"/>
      <c r="C162" s="157" t="s">
        <v>76</v>
      </c>
      <c r="D162" s="157">
        <v>5</v>
      </c>
      <c r="E162" s="157">
        <v>5</v>
      </c>
      <c r="F162" s="157">
        <v>0.38500000000000001</v>
      </c>
      <c r="G162" s="157">
        <v>0.15</v>
      </c>
      <c r="H162" s="157">
        <v>2.4900000000000002</v>
      </c>
      <c r="I162" s="157">
        <v>13.1</v>
      </c>
      <c r="J162" s="157">
        <v>6.4</v>
      </c>
      <c r="K162" s="157">
        <v>1.3</v>
      </c>
      <c r="L162" s="157">
        <v>1.75</v>
      </c>
      <c r="M162" s="157">
        <v>4.2</v>
      </c>
      <c r="N162" s="157">
        <v>0.08</v>
      </c>
      <c r="O162" s="157">
        <v>0</v>
      </c>
      <c r="P162" s="157">
        <v>8.0000000000000002E-3</v>
      </c>
      <c r="Q162" s="157">
        <v>4.0000000000000001E-3</v>
      </c>
      <c r="R162" s="157">
        <v>7.6999999999999999E-2</v>
      </c>
      <c r="S162" s="157">
        <v>0</v>
      </c>
      <c r="T162" s="174">
        <v>70.400000000000006</v>
      </c>
      <c r="U162" s="135">
        <v>0.88400000000000001</v>
      </c>
      <c r="V162" s="135">
        <v>0.88400000000000001</v>
      </c>
    </row>
    <row r="163" spans="1:23" s="67" customFormat="1" x14ac:dyDescent="0.2">
      <c r="A163" s="154"/>
      <c r="B163" s="57"/>
      <c r="C163" s="155" t="s">
        <v>79</v>
      </c>
      <c r="D163" s="157">
        <v>2.7</v>
      </c>
      <c r="E163" s="157">
        <v>2.7</v>
      </c>
      <c r="F163" s="157">
        <v>0</v>
      </c>
      <c r="G163" s="157">
        <v>2.9969999999999999</v>
      </c>
      <c r="H163" s="157">
        <v>0</v>
      </c>
      <c r="I163" s="157">
        <v>26.97</v>
      </c>
      <c r="J163" s="157">
        <v>0</v>
      </c>
      <c r="K163" s="157">
        <v>0</v>
      </c>
      <c r="L163" s="157">
        <v>0</v>
      </c>
      <c r="M163" s="157">
        <v>0</v>
      </c>
      <c r="N163" s="157">
        <v>0</v>
      </c>
      <c r="O163" s="157">
        <v>0</v>
      </c>
      <c r="P163" s="157">
        <v>0</v>
      </c>
      <c r="Q163" s="157">
        <v>0</v>
      </c>
      <c r="R163" s="157">
        <v>0</v>
      </c>
      <c r="S163" s="157">
        <v>0</v>
      </c>
      <c r="T163" s="174">
        <v>11.13</v>
      </c>
      <c r="U163" s="135">
        <v>0.14499999999999999</v>
      </c>
      <c r="V163" s="135">
        <v>0.14499999999999999</v>
      </c>
      <c r="W163" s="154"/>
    </row>
    <row r="164" spans="1:23" x14ac:dyDescent="0.2">
      <c r="B164" s="57"/>
      <c r="C164" s="18" t="s">
        <v>77</v>
      </c>
      <c r="D164" s="157"/>
      <c r="E164" s="138"/>
      <c r="F164" s="141">
        <v>7.92</v>
      </c>
      <c r="G164" s="141">
        <v>9.3439999999999994</v>
      </c>
      <c r="H164" s="141">
        <v>6.4740000000000002</v>
      </c>
      <c r="I164" s="141">
        <v>142.43</v>
      </c>
      <c r="J164" s="141">
        <v>103.83</v>
      </c>
      <c r="K164" s="141">
        <v>8.56</v>
      </c>
      <c r="L164" s="141">
        <v>11.58</v>
      </c>
      <c r="M164" s="141">
        <v>69.989999999999995</v>
      </c>
      <c r="N164" s="141">
        <v>0.68899999999999995</v>
      </c>
      <c r="O164" s="141">
        <v>0.01</v>
      </c>
      <c r="P164" s="141">
        <v>5.3999999999999999E-2</v>
      </c>
      <c r="Q164" s="141">
        <v>6.6000000000000003E-2</v>
      </c>
      <c r="R164" s="142">
        <v>2.4569999999999999</v>
      </c>
      <c r="S164" s="143">
        <v>0.74</v>
      </c>
      <c r="T164" s="174"/>
      <c r="U164" s="135">
        <v>20.07</v>
      </c>
      <c r="V164" s="138">
        <v>20.07</v>
      </c>
    </row>
    <row r="165" spans="1:23" x14ac:dyDescent="0.2">
      <c r="B165" s="69" t="s">
        <v>127</v>
      </c>
      <c r="C165" s="19" t="s">
        <v>128</v>
      </c>
      <c r="D165" s="84"/>
      <c r="E165" s="21">
        <v>150</v>
      </c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3"/>
      <c r="U165" s="135"/>
      <c r="V165" s="84"/>
    </row>
    <row r="166" spans="1:23" x14ac:dyDescent="0.2">
      <c r="B166" s="69"/>
      <c r="C166" s="161" t="s">
        <v>120</v>
      </c>
      <c r="D166" s="162">
        <v>213</v>
      </c>
      <c r="E166" s="162">
        <v>171</v>
      </c>
      <c r="F166" s="69">
        <f>1.8*E166/100</f>
        <v>3.0780000000000003</v>
      </c>
      <c r="G166" s="69">
        <v>0</v>
      </c>
      <c r="H166" s="69">
        <f>4.7*E166/100</f>
        <v>8.0370000000000008</v>
      </c>
      <c r="I166" s="69">
        <f>28*E166/100</f>
        <v>47.88</v>
      </c>
      <c r="J166" s="69">
        <f>300*E166/100</f>
        <v>513</v>
      </c>
      <c r="K166" s="69">
        <f>48*E166/100</f>
        <v>82.08</v>
      </c>
      <c r="L166" s="69">
        <f>16*E166/100</f>
        <v>27.36</v>
      </c>
      <c r="M166" s="69">
        <f>31*E166/100</f>
        <v>53.01</v>
      </c>
      <c r="N166" s="69">
        <v>0</v>
      </c>
      <c r="O166" s="69">
        <v>0</v>
      </c>
      <c r="P166" s="69">
        <v>0</v>
      </c>
      <c r="Q166" s="69">
        <v>0</v>
      </c>
      <c r="R166" s="70">
        <v>0</v>
      </c>
      <c r="S166" s="69">
        <f>45*E166/100</f>
        <v>76.95</v>
      </c>
      <c r="T166" s="69"/>
      <c r="U166" s="96">
        <v>35.630000000000003</v>
      </c>
      <c r="V166" s="84">
        <f t="shared" ref="V166:V175" si="15">D166*U166/1000</f>
        <v>7.5891900000000003</v>
      </c>
    </row>
    <row r="167" spans="1:23" x14ac:dyDescent="0.2">
      <c r="B167" s="69"/>
      <c r="C167" s="161" t="s">
        <v>129</v>
      </c>
      <c r="D167" s="162">
        <v>4.5</v>
      </c>
      <c r="E167" s="162">
        <v>4.5</v>
      </c>
      <c r="F167" s="84">
        <v>0</v>
      </c>
      <c r="G167" s="84">
        <v>0</v>
      </c>
      <c r="H167" s="84">
        <v>0</v>
      </c>
      <c r="I167" s="84">
        <v>0</v>
      </c>
      <c r="J167" s="84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  <c r="Q167" s="84">
        <v>0</v>
      </c>
      <c r="R167" s="84">
        <v>0</v>
      </c>
      <c r="S167" s="84">
        <v>0</v>
      </c>
      <c r="T167" s="69"/>
      <c r="U167" s="96">
        <v>0</v>
      </c>
      <c r="V167" s="84">
        <f t="shared" si="15"/>
        <v>0</v>
      </c>
    </row>
    <row r="168" spans="1:23" ht="17.25" customHeight="1" x14ac:dyDescent="0.2">
      <c r="B168" s="69"/>
      <c r="C168" s="161" t="s">
        <v>76</v>
      </c>
      <c r="D168" s="162">
        <v>6</v>
      </c>
      <c r="E168" s="162">
        <v>6</v>
      </c>
      <c r="F168" s="69">
        <v>0</v>
      </c>
      <c r="G168" s="69">
        <f>99.9*E168/100</f>
        <v>5.9940000000000007</v>
      </c>
      <c r="H168" s="69">
        <v>0</v>
      </c>
      <c r="I168" s="69">
        <f>899*E168/100</f>
        <v>53.94</v>
      </c>
      <c r="J168" s="85">
        <v>0</v>
      </c>
      <c r="K168" s="69">
        <v>0</v>
      </c>
      <c r="L168" s="69">
        <v>0</v>
      </c>
      <c r="M168" s="85">
        <v>0</v>
      </c>
      <c r="N168" s="69">
        <v>0</v>
      </c>
      <c r="O168" s="69">
        <v>0</v>
      </c>
      <c r="P168" s="69">
        <v>0</v>
      </c>
      <c r="Q168" s="69">
        <v>0</v>
      </c>
      <c r="R168" s="69">
        <v>0</v>
      </c>
      <c r="S168" s="69">
        <v>0</v>
      </c>
      <c r="T168" s="69"/>
      <c r="U168" s="96">
        <v>83.43</v>
      </c>
      <c r="V168" s="84">
        <f t="shared" si="15"/>
        <v>0.50058000000000002</v>
      </c>
    </row>
    <row r="169" spans="1:23" x14ac:dyDescent="0.2">
      <c r="B169" s="69"/>
      <c r="C169" s="161" t="s">
        <v>36</v>
      </c>
      <c r="D169" s="159">
        <v>3.6</v>
      </c>
      <c r="E169" s="162">
        <v>3.6</v>
      </c>
      <c r="F169" s="34">
        <f>4.8*E169/100</f>
        <v>0.17280000000000001</v>
      </c>
      <c r="G169" s="34">
        <v>0</v>
      </c>
      <c r="H169" s="34">
        <f>19*E169/100</f>
        <v>0.68400000000000005</v>
      </c>
      <c r="I169" s="34">
        <f>102*E169/100</f>
        <v>3.6719999999999997</v>
      </c>
      <c r="J169" s="34">
        <f>875*E169/100</f>
        <v>31.5</v>
      </c>
      <c r="K169" s="34">
        <f>20*E169/100</f>
        <v>0.72</v>
      </c>
      <c r="L169" s="34">
        <f>50*E169/100</f>
        <v>1.8</v>
      </c>
      <c r="M169" s="34">
        <f>68*E169/100</f>
        <v>2.448</v>
      </c>
      <c r="N169" s="34">
        <f>2.3*E169/100</f>
        <v>8.2799999999999999E-2</v>
      </c>
      <c r="O169" s="34">
        <v>0</v>
      </c>
      <c r="P169" s="34">
        <v>0</v>
      </c>
      <c r="Q169" s="34">
        <v>0</v>
      </c>
      <c r="R169" s="34">
        <v>0</v>
      </c>
      <c r="S169" s="34">
        <f>45*E169/100</f>
        <v>1.62</v>
      </c>
      <c r="T169" s="3"/>
      <c r="U169" s="96">
        <v>120</v>
      </c>
      <c r="V169" s="84">
        <f t="shared" si="15"/>
        <v>0.432</v>
      </c>
    </row>
    <row r="170" spans="1:23" x14ac:dyDescent="0.2">
      <c r="B170" s="69"/>
      <c r="C170" s="65" t="s">
        <v>32</v>
      </c>
      <c r="D170" s="159">
        <v>4.5</v>
      </c>
      <c r="E170" s="159">
        <v>3.8</v>
      </c>
      <c r="F170" s="34">
        <f>1.3*E170/100</f>
        <v>4.9399999999999993E-2</v>
      </c>
      <c r="G170" s="34">
        <v>0</v>
      </c>
      <c r="H170" s="34">
        <f>6.9*E170/100</f>
        <v>0.26219999999999999</v>
      </c>
      <c r="I170" s="34">
        <f>35*E170/100</f>
        <v>1.33</v>
      </c>
      <c r="J170" s="34">
        <f>200*E170/100</f>
        <v>7.6</v>
      </c>
      <c r="K170" s="34">
        <f>27*E170/100</f>
        <v>1.026</v>
      </c>
      <c r="L170" s="34">
        <f>38*E170/100</f>
        <v>1.444</v>
      </c>
      <c r="M170" s="34">
        <f>55*E170/100</f>
        <v>2.09</v>
      </c>
      <c r="N170" s="34">
        <v>0</v>
      </c>
      <c r="O170" s="34">
        <v>0</v>
      </c>
      <c r="P170" s="34">
        <v>0</v>
      </c>
      <c r="Q170" s="34">
        <v>0</v>
      </c>
      <c r="R170" s="34">
        <f>1*E170/100</f>
        <v>3.7999999999999999E-2</v>
      </c>
      <c r="S170" s="34">
        <f>5*E170/100</f>
        <v>0.19</v>
      </c>
      <c r="T170" s="69"/>
      <c r="U170" s="96">
        <v>32.71</v>
      </c>
      <c r="V170" s="84">
        <f t="shared" si="15"/>
        <v>0.14719499999999999</v>
      </c>
    </row>
    <row r="171" spans="1:23" x14ac:dyDescent="0.2">
      <c r="B171" s="69"/>
      <c r="C171" s="65" t="s">
        <v>33</v>
      </c>
      <c r="D171" s="159">
        <v>7.5</v>
      </c>
      <c r="E171" s="159">
        <v>6</v>
      </c>
      <c r="F171" s="69">
        <f>1.4*E171/100</f>
        <v>8.3999999999999991E-2</v>
      </c>
      <c r="G171" s="157">
        <v>0</v>
      </c>
      <c r="H171" s="157">
        <f>8.2*E171/100</f>
        <v>0.49199999999999994</v>
      </c>
      <c r="I171" s="157">
        <f>41*E171/100</f>
        <v>2.46</v>
      </c>
      <c r="J171" s="158">
        <f>175*E171/100</f>
        <v>10.5</v>
      </c>
      <c r="K171" s="157">
        <f>31*E171/100</f>
        <v>1.86</v>
      </c>
      <c r="L171" s="157">
        <f>14*E171/100</f>
        <v>0.84</v>
      </c>
      <c r="M171" s="158">
        <f>58*E171/100</f>
        <v>3.48</v>
      </c>
      <c r="N171" s="157">
        <v>0</v>
      </c>
      <c r="O171" s="157">
        <v>0</v>
      </c>
      <c r="P171" s="157">
        <v>0</v>
      </c>
      <c r="Q171" s="157">
        <v>0</v>
      </c>
      <c r="R171" s="157">
        <v>0</v>
      </c>
      <c r="S171" s="157">
        <f>10*E171/100</f>
        <v>0.6</v>
      </c>
      <c r="T171" s="69"/>
      <c r="U171" s="96">
        <v>29.62</v>
      </c>
      <c r="V171" s="84">
        <f t="shared" si="15"/>
        <v>0.22215000000000001</v>
      </c>
    </row>
    <row r="172" spans="1:23" ht="12.75" customHeight="1" x14ac:dyDescent="0.2">
      <c r="B172" s="69"/>
      <c r="C172" s="65" t="s">
        <v>39</v>
      </c>
      <c r="D172" s="159">
        <v>1.2E-2</v>
      </c>
      <c r="E172" s="159">
        <v>1.2E-2</v>
      </c>
      <c r="F172" s="69">
        <v>0</v>
      </c>
      <c r="G172" s="69">
        <v>0</v>
      </c>
      <c r="H172" s="69">
        <v>0</v>
      </c>
      <c r="I172" s="69">
        <v>0</v>
      </c>
      <c r="J172" s="86">
        <v>0</v>
      </c>
      <c r="K172" s="69">
        <v>0</v>
      </c>
      <c r="L172" s="69">
        <v>0</v>
      </c>
      <c r="M172" s="85">
        <v>0</v>
      </c>
      <c r="N172" s="69">
        <v>0</v>
      </c>
      <c r="O172" s="69">
        <v>0</v>
      </c>
      <c r="P172" s="69">
        <v>0</v>
      </c>
      <c r="Q172" s="69">
        <v>0</v>
      </c>
      <c r="R172" s="70">
        <v>0</v>
      </c>
      <c r="S172" s="69">
        <v>0</v>
      </c>
      <c r="T172" s="69"/>
      <c r="U172" s="96">
        <v>300</v>
      </c>
      <c r="V172" s="84">
        <f t="shared" si="15"/>
        <v>3.5999999999999999E-3</v>
      </c>
    </row>
    <row r="173" spans="1:23" ht="14.25" customHeight="1" x14ac:dyDescent="0.2">
      <c r="B173" s="69"/>
      <c r="C173" s="65" t="s">
        <v>38</v>
      </c>
      <c r="D173" s="159">
        <v>1.5</v>
      </c>
      <c r="E173" s="159">
        <v>1.5</v>
      </c>
      <c r="F173" s="69">
        <f>10.3*E173/100</f>
        <v>0.1545</v>
      </c>
      <c r="G173" s="69">
        <f>1.1*E173/100</f>
        <v>1.6500000000000001E-2</v>
      </c>
      <c r="H173" s="69">
        <f>69*E173/100</f>
        <v>1.0349999999999999</v>
      </c>
      <c r="I173" s="69">
        <f>334*E173/100</f>
        <v>5.01</v>
      </c>
      <c r="J173" s="85">
        <f>176*E173/100</f>
        <v>2.64</v>
      </c>
      <c r="K173" s="69">
        <f>24*E173/100</f>
        <v>0.36</v>
      </c>
      <c r="L173" s="69">
        <f>44*E173/100</f>
        <v>0.66</v>
      </c>
      <c r="M173" s="85">
        <f>115*E173/100</f>
        <v>1.7250000000000001</v>
      </c>
      <c r="N173" s="69">
        <f>2.1*E173/100</f>
        <v>3.15E-2</v>
      </c>
      <c r="O173" s="69">
        <v>0</v>
      </c>
      <c r="P173" s="69">
        <v>0</v>
      </c>
      <c r="Q173" s="69">
        <v>0</v>
      </c>
      <c r="R173" s="69">
        <v>0</v>
      </c>
      <c r="S173" s="69">
        <v>0</v>
      </c>
      <c r="T173" s="69"/>
      <c r="U173" s="96">
        <v>27.31</v>
      </c>
      <c r="V173" s="84">
        <f t="shared" si="15"/>
        <v>4.0964999999999994E-2</v>
      </c>
    </row>
    <row r="174" spans="1:23" x14ac:dyDescent="0.2">
      <c r="B174" s="69"/>
      <c r="C174" s="65" t="s">
        <v>30</v>
      </c>
      <c r="D174" s="159">
        <v>4.5</v>
      </c>
      <c r="E174" s="159">
        <v>4.5</v>
      </c>
      <c r="F174" s="84">
        <v>0</v>
      </c>
      <c r="G174" s="84">
        <v>0</v>
      </c>
      <c r="H174" s="84">
        <f>99.8*E174/100</f>
        <v>4.4909999999999997</v>
      </c>
      <c r="I174" s="84">
        <f>379*E174/100</f>
        <v>17.055</v>
      </c>
      <c r="J174" s="84">
        <f>3*E174/100</f>
        <v>0.13500000000000001</v>
      </c>
      <c r="K174" s="84">
        <f>2*E174/100</f>
        <v>0.09</v>
      </c>
      <c r="L174" s="84">
        <v>0</v>
      </c>
      <c r="M174" s="84">
        <v>0</v>
      </c>
      <c r="N174" s="84">
        <v>0</v>
      </c>
      <c r="O174" s="84">
        <v>0</v>
      </c>
      <c r="P174" s="84">
        <v>0</v>
      </c>
      <c r="Q174" s="84">
        <v>0</v>
      </c>
      <c r="R174" s="84">
        <v>0</v>
      </c>
      <c r="S174" s="84">
        <v>0</v>
      </c>
      <c r="T174" s="69"/>
      <c r="U174" s="96">
        <v>50.97</v>
      </c>
      <c r="V174" s="84">
        <f t="shared" si="15"/>
        <v>0.22936500000000001</v>
      </c>
    </row>
    <row r="175" spans="1:23" x14ac:dyDescent="0.2">
      <c r="B175" s="69"/>
      <c r="C175" s="65" t="s">
        <v>46</v>
      </c>
      <c r="D175" s="159">
        <v>0.5</v>
      </c>
      <c r="E175" s="159">
        <v>0.5</v>
      </c>
      <c r="F175" s="69">
        <v>0</v>
      </c>
      <c r="G175" s="69">
        <v>0</v>
      </c>
      <c r="H175" s="69">
        <v>0</v>
      </c>
      <c r="I175" s="69">
        <v>0</v>
      </c>
      <c r="J175" s="69">
        <v>0</v>
      </c>
      <c r="K175" s="69">
        <v>0</v>
      </c>
      <c r="L175" s="69">
        <v>0</v>
      </c>
      <c r="M175" s="69">
        <v>0</v>
      </c>
      <c r="N175" s="69">
        <v>0</v>
      </c>
      <c r="O175" s="69">
        <v>0</v>
      </c>
      <c r="P175" s="69">
        <v>0</v>
      </c>
      <c r="Q175" s="69">
        <v>0</v>
      </c>
      <c r="R175" s="70">
        <v>0</v>
      </c>
      <c r="S175" s="69">
        <v>0</v>
      </c>
      <c r="T175" s="69"/>
      <c r="U175" s="96">
        <v>11.63</v>
      </c>
      <c r="V175" s="84">
        <f t="shared" si="15"/>
        <v>5.8150000000000007E-3</v>
      </c>
    </row>
    <row r="176" spans="1:23" s="26" customFormat="1" x14ac:dyDescent="0.2">
      <c r="B176" s="69"/>
      <c r="C176" s="90" t="s">
        <v>77</v>
      </c>
      <c r="D176" s="196"/>
      <c r="E176" s="196"/>
      <c r="F176" s="3">
        <f>SUM(F166:F175)</f>
        <v>3.5387000000000004</v>
      </c>
      <c r="G176" s="3">
        <f t="shared" ref="G176:S176" si="16">SUM(G166:G175)</f>
        <v>6.0105000000000004</v>
      </c>
      <c r="H176" s="3">
        <f t="shared" si="16"/>
        <v>15.001199999999999</v>
      </c>
      <c r="I176" s="3">
        <f t="shared" si="16"/>
        <v>131.34699999999998</v>
      </c>
      <c r="J176" s="3">
        <f t="shared" si="16"/>
        <v>565.375</v>
      </c>
      <c r="K176" s="3">
        <f t="shared" si="16"/>
        <v>86.135999999999996</v>
      </c>
      <c r="L176" s="3">
        <f t="shared" si="16"/>
        <v>32.103999999999999</v>
      </c>
      <c r="M176" s="3">
        <f t="shared" si="16"/>
        <v>62.753</v>
      </c>
      <c r="N176" s="3">
        <f t="shared" si="16"/>
        <v>0.1143</v>
      </c>
      <c r="O176" s="3">
        <f t="shared" si="16"/>
        <v>0</v>
      </c>
      <c r="P176" s="3">
        <f t="shared" si="16"/>
        <v>0</v>
      </c>
      <c r="Q176" s="3">
        <f t="shared" si="16"/>
        <v>0</v>
      </c>
      <c r="R176" s="3">
        <f t="shared" si="16"/>
        <v>3.7999999999999999E-2</v>
      </c>
      <c r="S176" s="3">
        <f t="shared" si="16"/>
        <v>79.36</v>
      </c>
      <c r="T176" s="69"/>
      <c r="U176" s="96"/>
      <c r="V176" s="21">
        <f>SUM(V166:V175)</f>
        <v>9.1708599999999993</v>
      </c>
    </row>
    <row r="177" spans="2:22" s="26" customFormat="1" x14ac:dyDescent="0.2">
      <c r="B177" s="69" t="s">
        <v>73</v>
      </c>
      <c r="C177" s="5" t="s">
        <v>74</v>
      </c>
      <c r="D177" s="313" t="s">
        <v>75</v>
      </c>
      <c r="E177" s="314"/>
      <c r="F177" s="4"/>
      <c r="G177" s="4"/>
      <c r="H177" s="4"/>
      <c r="I177" s="4"/>
      <c r="J177" s="11"/>
      <c r="K177" s="4"/>
      <c r="L177" s="4"/>
      <c r="M177" s="11"/>
      <c r="N177" s="4"/>
      <c r="O177" s="4"/>
      <c r="P177" s="4"/>
      <c r="Q177" s="4"/>
      <c r="R177" s="51"/>
      <c r="S177" s="4"/>
      <c r="T177" s="69"/>
      <c r="U177" s="96"/>
      <c r="V177" s="84"/>
    </row>
    <row r="178" spans="2:22" s="26" customFormat="1" x14ac:dyDescent="0.2">
      <c r="B178" s="69"/>
      <c r="C178" s="65" t="s">
        <v>40</v>
      </c>
      <c r="D178" s="159">
        <v>50</v>
      </c>
      <c r="E178" s="159">
        <v>50</v>
      </c>
      <c r="F178" s="69">
        <v>0.1</v>
      </c>
      <c r="G178" s="69">
        <v>0</v>
      </c>
      <c r="H178" s="69">
        <v>0</v>
      </c>
      <c r="I178" s="69">
        <v>0.8</v>
      </c>
      <c r="J178" s="85">
        <v>12.4</v>
      </c>
      <c r="K178" s="69">
        <v>2.5</v>
      </c>
      <c r="L178" s="69">
        <v>2.2000000000000002</v>
      </c>
      <c r="M178" s="85">
        <v>4.12</v>
      </c>
      <c r="N178" s="69">
        <v>0.4</v>
      </c>
      <c r="O178" s="69">
        <v>0</v>
      </c>
      <c r="P178" s="69">
        <v>0</v>
      </c>
      <c r="Q178" s="69">
        <v>0</v>
      </c>
      <c r="R178" s="70">
        <v>0</v>
      </c>
      <c r="S178" s="69">
        <v>0</v>
      </c>
      <c r="T178" s="69"/>
      <c r="U178" s="96">
        <v>539.16999999999996</v>
      </c>
      <c r="V178" s="84">
        <f>1*U178/1000</f>
        <v>0.53916999999999993</v>
      </c>
    </row>
    <row r="179" spans="2:22" s="26" customFormat="1" x14ac:dyDescent="0.2">
      <c r="B179" s="69"/>
      <c r="C179" s="65" t="s">
        <v>30</v>
      </c>
      <c r="D179" s="159">
        <v>15</v>
      </c>
      <c r="E179" s="159">
        <v>15</v>
      </c>
      <c r="F179" s="69">
        <v>0</v>
      </c>
      <c r="G179" s="69">
        <v>0</v>
      </c>
      <c r="H179" s="69">
        <v>15</v>
      </c>
      <c r="I179" s="69">
        <v>56.9</v>
      </c>
      <c r="J179" s="85">
        <v>0.5</v>
      </c>
      <c r="K179" s="69">
        <v>0.4</v>
      </c>
      <c r="L179" s="69">
        <v>0</v>
      </c>
      <c r="M179" s="85">
        <v>0</v>
      </c>
      <c r="N179" s="69">
        <v>0</v>
      </c>
      <c r="O179" s="69">
        <v>0</v>
      </c>
      <c r="P179" s="69">
        <v>0</v>
      </c>
      <c r="Q179" s="69">
        <v>0</v>
      </c>
      <c r="R179" s="70">
        <v>0</v>
      </c>
      <c r="S179" s="69">
        <v>0</v>
      </c>
      <c r="T179" s="69"/>
      <c r="U179" s="96">
        <v>50.97</v>
      </c>
      <c r="V179" s="84">
        <f>D179*U179/1000</f>
        <v>0.76454999999999995</v>
      </c>
    </row>
    <row r="180" spans="2:22" s="26" customFormat="1" x14ac:dyDescent="0.2">
      <c r="B180" s="69"/>
      <c r="C180" s="65" t="s">
        <v>35</v>
      </c>
      <c r="D180" s="159">
        <v>150</v>
      </c>
      <c r="E180" s="159">
        <v>150</v>
      </c>
      <c r="F180" s="69">
        <v>0</v>
      </c>
      <c r="G180" s="69">
        <v>0</v>
      </c>
      <c r="H180" s="69">
        <v>0</v>
      </c>
      <c r="I180" s="69">
        <v>0</v>
      </c>
      <c r="J180" s="69">
        <v>0</v>
      </c>
      <c r="K180" s="69">
        <v>0</v>
      </c>
      <c r="L180" s="69">
        <v>0</v>
      </c>
      <c r="M180" s="69">
        <v>0</v>
      </c>
      <c r="N180" s="69">
        <v>0</v>
      </c>
      <c r="O180" s="69">
        <v>0</v>
      </c>
      <c r="P180" s="69">
        <v>0</v>
      </c>
      <c r="Q180" s="69">
        <v>0</v>
      </c>
      <c r="R180" s="70">
        <v>0</v>
      </c>
      <c r="S180" s="69">
        <v>0</v>
      </c>
      <c r="T180" s="69"/>
      <c r="U180" s="96">
        <v>0</v>
      </c>
      <c r="V180" s="84">
        <f>D180*U180/1000</f>
        <v>0</v>
      </c>
    </row>
    <row r="181" spans="2:22" s="26" customFormat="1" x14ac:dyDescent="0.2">
      <c r="B181" s="69"/>
      <c r="C181" s="39" t="s">
        <v>47</v>
      </c>
      <c r="D181" s="3"/>
      <c r="E181" s="3"/>
      <c r="F181" s="3">
        <f t="shared" ref="F181:S181" si="17">SUM(F178:F180)</f>
        <v>0.1</v>
      </c>
      <c r="G181" s="3">
        <f t="shared" si="17"/>
        <v>0</v>
      </c>
      <c r="H181" s="3">
        <f t="shared" si="17"/>
        <v>15</v>
      </c>
      <c r="I181" s="3">
        <f t="shared" si="17"/>
        <v>57.699999999999996</v>
      </c>
      <c r="J181" s="3">
        <f t="shared" si="17"/>
        <v>12.9</v>
      </c>
      <c r="K181" s="3">
        <f t="shared" si="17"/>
        <v>2.9</v>
      </c>
      <c r="L181" s="3">
        <f t="shared" si="17"/>
        <v>2.2000000000000002</v>
      </c>
      <c r="M181" s="3">
        <f t="shared" si="17"/>
        <v>4.12</v>
      </c>
      <c r="N181" s="3">
        <f t="shared" si="17"/>
        <v>0.4</v>
      </c>
      <c r="O181" s="3">
        <f t="shared" si="17"/>
        <v>0</v>
      </c>
      <c r="P181" s="3">
        <f t="shared" si="17"/>
        <v>0</v>
      </c>
      <c r="Q181" s="3">
        <f t="shared" si="17"/>
        <v>0</v>
      </c>
      <c r="R181" s="50">
        <f t="shared" si="17"/>
        <v>0</v>
      </c>
      <c r="S181" s="3">
        <f t="shared" si="17"/>
        <v>0</v>
      </c>
      <c r="T181" s="3"/>
      <c r="U181" s="32"/>
      <c r="V181" s="21">
        <f>SUM(V178:V180)</f>
        <v>1.3037199999999998</v>
      </c>
    </row>
    <row r="182" spans="2:22" s="26" customFormat="1" ht="25.5" x14ac:dyDescent="0.2">
      <c r="B182" s="69" t="s">
        <v>24</v>
      </c>
      <c r="C182" s="5" t="s">
        <v>105</v>
      </c>
      <c r="D182" s="69">
        <v>30</v>
      </c>
      <c r="E182" s="3">
        <v>30</v>
      </c>
      <c r="F182" s="69">
        <v>1.54</v>
      </c>
      <c r="G182" s="69">
        <v>0.6</v>
      </c>
      <c r="H182" s="69">
        <v>9.9600000000000009</v>
      </c>
      <c r="I182" s="69">
        <v>52.4</v>
      </c>
      <c r="J182" s="69">
        <v>25.4</v>
      </c>
      <c r="K182" s="69">
        <v>5.2</v>
      </c>
      <c r="L182" s="69">
        <v>7</v>
      </c>
      <c r="M182" s="69">
        <v>16.600000000000001</v>
      </c>
      <c r="N182" s="69">
        <v>0.32</v>
      </c>
      <c r="O182" s="69">
        <v>0</v>
      </c>
      <c r="P182" s="69">
        <v>3.2000000000000001E-2</v>
      </c>
      <c r="Q182" s="69">
        <v>1.6E-2</v>
      </c>
      <c r="R182" s="70">
        <v>0.308</v>
      </c>
      <c r="S182" s="69">
        <v>0</v>
      </c>
      <c r="T182" s="69">
        <v>29.29</v>
      </c>
      <c r="U182" s="96">
        <v>0.58584000000000003</v>
      </c>
      <c r="V182" s="84"/>
    </row>
    <row r="183" spans="2:22" s="26" customFormat="1" x14ac:dyDescent="0.2">
      <c r="B183" s="69"/>
      <c r="C183" s="3" t="s">
        <v>164</v>
      </c>
      <c r="D183" s="69"/>
      <c r="E183" s="69"/>
      <c r="F183" s="3">
        <v>31.069400000000002</v>
      </c>
      <c r="G183" s="3">
        <v>30.939299999999999</v>
      </c>
      <c r="H183" s="3">
        <v>107.2024</v>
      </c>
      <c r="I183" s="3">
        <v>781.80960000000005</v>
      </c>
      <c r="J183" s="3">
        <v>710.69899999999996</v>
      </c>
      <c r="K183" s="3">
        <v>65.001999999999995</v>
      </c>
      <c r="L183" s="3">
        <v>68.805999999999997</v>
      </c>
      <c r="M183" s="3">
        <v>254.53200000000001</v>
      </c>
      <c r="N183" s="3">
        <v>7.3377999999999997</v>
      </c>
      <c r="O183" s="3">
        <v>8.2750000000000004E-2</v>
      </c>
      <c r="P183" s="3">
        <v>0.29818</v>
      </c>
      <c r="Q183" s="3">
        <v>0.25728299999999998</v>
      </c>
      <c r="R183" s="50">
        <v>4.6688000000000001</v>
      </c>
      <c r="S183" s="3">
        <v>14.24</v>
      </c>
      <c r="T183" s="3"/>
      <c r="U183" s="32">
        <v>30.55</v>
      </c>
      <c r="V183" s="21">
        <v>30.55</v>
      </c>
    </row>
    <row r="184" spans="2:22" s="26" customFormat="1" x14ac:dyDescent="0.2">
      <c r="B184" s="69"/>
      <c r="C184" s="196" t="s">
        <v>61</v>
      </c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70"/>
      <c r="S184" s="69"/>
      <c r="T184" s="69"/>
      <c r="U184" s="96"/>
      <c r="V184" s="84"/>
    </row>
    <row r="185" spans="2:22" s="26" customFormat="1" x14ac:dyDescent="0.2">
      <c r="B185" s="69"/>
      <c r="C185" s="196" t="s">
        <v>163</v>
      </c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70"/>
      <c r="S185" s="69"/>
      <c r="T185" s="69"/>
      <c r="U185" s="96"/>
      <c r="V185" s="84"/>
    </row>
    <row r="186" spans="2:22" s="26" customFormat="1" x14ac:dyDescent="0.2">
      <c r="B186" s="69" t="s">
        <v>89</v>
      </c>
      <c r="C186" s="5" t="s">
        <v>80</v>
      </c>
      <c r="D186" s="69"/>
      <c r="E186" s="3">
        <v>80</v>
      </c>
      <c r="F186" s="3"/>
      <c r="G186" s="3"/>
      <c r="H186" s="3"/>
      <c r="I186" s="32"/>
      <c r="J186" s="3"/>
      <c r="K186" s="32"/>
      <c r="L186" s="32"/>
      <c r="M186" s="7"/>
      <c r="N186" s="3"/>
      <c r="O186" s="3"/>
      <c r="P186" s="3"/>
      <c r="Q186" s="3"/>
      <c r="R186" s="3"/>
      <c r="S186" s="32"/>
      <c r="T186" s="69"/>
      <c r="U186" s="96"/>
      <c r="V186" s="84"/>
    </row>
    <row r="187" spans="2:22" s="26" customFormat="1" x14ac:dyDescent="0.2">
      <c r="B187" s="69"/>
      <c r="C187" s="155" t="s">
        <v>67</v>
      </c>
      <c r="D187" s="69">
        <v>69.3</v>
      </c>
      <c r="E187" s="69">
        <v>50.6</v>
      </c>
      <c r="F187" s="69">
        <v>11.4</v>
      </c>
      <c r="G187" s="69">
        <v>8.09</v>
      </c>
      <c r="H187" s="69">
        <v>0</v>
      </c>
      <c r="I187" s="96">
        <v>110</v>
      </c>
      <c r="J187" s="69">
        <v>164.5</v>
      </c>
      <c r="K187" s="85">
        <v>4.5</v>
      </c>
      <c r="L187" s="85">
        <v>11.1</v>
      </c>
      <c r="M187" s="85">
        <v>95.1</v>
      </c>
      <c r="N187" s="69">
        <v>1.4</v>
      </c>
      <c r="O187" s="69">
        <v>0</v>
      </c>
      <c r="P187" s="69">
        <v>0.03</v>
      </c>
      <c r="Q187" s="69">
        <v>0.1</v>
      </c>
      <c r="R187" s="69">
        <v>2.2999999999999998</v>
      </c>
      <c r="S187" s="96">
        <v>0</v>
      </c>
      <c r="T187" s="69"/>
      <c r="U187" s="96">
        <v>351.86</v>
      </c>
      <c r="V187" s="84">
        <f>E187*U187/1000</f>
        <v>17.804116</v>
      </c>
    </row>
    <row r="188" spans="2:22" s="26" customFormat="1" x14ac:dyDescent="0.2">
      <c r="B188" s="69"/>
      <c r="C188" s="155" t="s">
        <v>35</v>
      </c>
      <c r="D188" s="69">
        <v>8</v>
      </c>
      <c r="E188" s="69">
        <v>8</v>
      </c>
      <c r="F188" s="69">
        <v>0</v>
      </c>
      <c r="G188" s="69">
        <v>0</v>
      </c>
      <c r="H188" s="69">
        <v>0</v>
      </c>
      <c r="I188" s="69">
        <v>0</v>
      </c>
      <c r="J188" s="69">
        <v>0</v>
      </c>
      <c r="K188" s="69">
        <v>0</v>
      </c>
      <c r="L188" s="69">
        <v>0</v>
      </c>
      <c r="M188" s="69">
        <v>0</v>
      </c>
      <c r="N188" s="69">
        <v>0</v>
      </c>
      <c r="O188" s="69">
        <v>0</v>
      </c>
      <c r="P188" s="69">
        <v>0</v>
      </c>
      <c r="Q188" s="69">
        <v>0</v>
      </c>
      <c r="R188" s="69">
        <v>0</v>
      </c>
      <c r="S188" s="69">
        <v>0</v>
      </c>
      <c r="T188" s="69"/>
      <c r="U188" s="96">
        <v>0</v>
      </c>
      <c r="V188" s="84">
        <v>0</v>
      </c>
    </row>
    <row r="189" spans="2:22" s="26" customFormat="1" x14ac:dyDescent="0.2">
      <c r="B189" s="69"/>
      <c r="C189" s="155" t="s">
        <v>49</v>
      </c>
      <c r="D189" s="69">
        <v>6.6</v>
      </c>
      <c r="E189" s="69">
        <v>6.6</v>
      </c>
      <c r="F189" s="69">
        <v>0.5</v>
      </c>
      <c r="G189" s="69">
        <v>0.06</v>
      </c>
      <c r="H189" s="69">
        <v>4.7</v>
      </c>
      <c r="I189" s="69">
        <v>21.8</v>
      </c>
      <c r="J189" s="69">
        <v>3.6</v>
      </c>
      <c r="K189" s="69">
        <v>1.6</v>
      </c>
      <c r="L189" s="69">
        <v>1.4</v>
      </c>
      <c r="M189" s="69">
        <v>6.4</v>
      </c>
      <c r="N189" s="69">
        <v>0.11</v>
      </c>
      <c r="O189" s="69">
        <v>0</v>
      </c>
      <c r="P189" s="69">
        <v>0.05</v>
      </c>
      <c r="Q189" s="69">
        <v>0.02</v>
      </c>
      <c r="R189" s="69">
        <v>0.1</v>
      </c>
      <c r="S189" s="69">
        <v>0</v>
      </c>
      <c r="T189" s="69"/>
      <c r="U189" s="96">
        <v>56.43</v>
      </c>
      <c r="V189" s="84">
        <f>D189*U189/1000</f>
        <v>0.37243799999999999</v>
      </c>
    </row>
    <row r="190" spans="2:22" s="26" customFormat="1" x14ac:dyDescent="0.2">
      <c r="B190" s="69"/>
      <c r="C190" s="155" t="s">
        <v>33</v>
      </c>
      <c r="D190" s="69">
        <v>28</v>
      </c>
      <c r="E190" s="69">
        <v>24</v>
      </c>
      <c r="F190" s="69">
        <v>0.33</v>
      </c>
      <c r="G190" s="69">
        <v>0.05</v>
      </c>
      <c r="H190" s="69">
        <v>1.9</v>
      </c>
      <c r="I190" s="69">
        <v>9.8000000000000007</v>
      </c>
      <c r="J190" s="69">
        <v>42</v>
      </c>
      <c r="K190" s="85">
        <v>7.4</v>
      </c>
      <c r="L190" s="85">
        <v>3.4</v>
      </c>
      <c r="M190" s="85">
        <v>13.9</v>
      </c>
      <c r="N190" s="69">
        <v>0.2</v>
      </c>
      <c r="O190" s="69">
        <v>0</v>
      </c>
      <c r="P190" s="69">
        <v>0.01</v>
      </c>
      <c r="Q190" s="69">
        <v>0.04</v>
      </c>
      <c r="R190" s="69">
        <v>0.05</v>
      </c>
      <c r="S190" s="96">
        <v>2.4</v>
      </c>
      <c r="T190" s="69"/>
      <c r="U190" s="96">
        <v>29.62</v>
      </c>
      <c r="V190" s="84">
        <f>D190*U190/1000</f>
        <v>0.82935999999999999</v>
      </c>
    </row>
    <row r="191" spans="2:22" s="26" customFormat="1" ht="25.5" x14ac:dyDescent="0.2">
      <c r="B191" s="69"/>
      <c r="C191" s="155" t="s">
        <v>34</v>
      </c>
      <c r="D191" s="84">
        <v>10.6</v>
      </c>
      <c r="E191" s="84">
        <v>10.6</v>
      </c>
      <c r="F191" s="69">
        <v>0</v>
      </c>
      <c r="G191" s="69">
        <f>99.9*E191/100</f>
        <v>10.589400000000001</v>
      </c>
      <c r="H191" s="69">
        <f>0</f>
        <v>0</v>
      </c>
      <c r="I191" s="69">
        <f>899*E191/100</f>
        <v>95.293999999999997</v>
      </c>
      <c r="J191" s="86">
        <v>0</v>
      </c>
      <c r="K191" s="69">
        <v>0</v>
      </c>
      <c r="L191" s="69">
        <v>0</v>
      </c>
      <c r="M191" s="87">
        <v>0</v>
      </c>
      <c r="N191" s="69">
        <v>0</v>
      </c>
      <c r="O191" s="69">
        <v>0</v>
      </c>
      <c r="P191" s="69">
        <v>0</v>
      </c>
      <c r="Q191" s="69">
        <v>0</v>
      </c>
      <c r="R191" s="69">
        <v>0</v>
      </c>
      <c r="S191" s="69">
        <v>0</v>
      </c>
      <c r="T191" s="69"/>
      <c r="U191" s="96">
        <v>83.43</v>
      </c>
      <c r="V191" s="84">
        <f>D191*U191/1000</f>
        <v>0.88435800000000009</v>
      </c>
    </row>
    <row r="192" spans="2:22" s="26" customFormat="1" x14ac:dyDescent="0.2">
      <c r="B192" s="69"/>
      <c r="C192" s="155" t="s">
        <v>69</v>
      </c>
      <c r="D192" s="84">
        <v>5.3</v>
      </c>
      <c r="E192" s="84">
        <v>5.3</v>
      </c>
      <c r="F192" s="84">
        <v>0.5</v>
      </c>
      <c r="G192" s="84">
        <v>0.05</v>
      </c>
      <c r="H192" s="84">
        <v>3.6</v>
      </c>
      <c r="I192" s="84">
        <v>17.7</v>
      </c>
      <c r="J192" s="84">
        <v>9.3000000000000007</v>
      </c>
      <c r="K192" s="177">
        <v>1.3</v>
      </c>
      <c r="L192" s="84">
        <v>2.33</v>
      </c>
      <c r="M192" s="177">
        <v>6.09</v>
      </c>
      <c r="N192" s="84">
        <v>0.11</v>
      </c>
      <c r="O192" s="84">
        <v>0</v>
      </c>
      <c r="P192" s="69">
        <v>0.09</v>
      </c>
      <c r="Q192" s="69">
        <v>0.04</v>
      </c>
      <c r="R192" s="69">
        <v>0.06</v>
      </c>
      <c r="S192" s="69">
        <v>0</v>
      </c>
      <c r="T192" s="69"/>
      <c r="U192" s="96">
        <v>27.31</v>
      </c>
      <c r="V192" s="84">
        <f>D192*U192/1000</f>
        <v>0.14474299999999998</v>
      </c>
    </row>
    <row r="193" spans="1:24" s="26" customFormat="1" x14ac:dyDescent="0.2">
      <c r="B193" s="69"/>
      <c r="C193" s="155" t="s">
        <v>46</v>
      </c>
      <c r="D193" s="84">
        <v>3</v>
      </c>
      <c r="E193" s="84">
        <v>3</v>
      </c>
      <c r="F193" s="84">
        <v>0</v>
      </c>
      <c r="G193" s="84">
        <v>0</v>
      </c>
      <c r="H193" s="84">
        <v>0</v>
      </c>
      <c r="I193" s="84">
        <v>0</v>
      </c>
      <c r="J193" s="84">
        <v>0</v>
      </c>
      <c r="K193" s="177">
        <v>0</v>
      </c>
      <c r="L193" s="84">
        <v>0</v>
      </c>
      <c r="M193" s="177">
        <v>0</v>
      </c>
      <c r="N193" s="84">
        <v>0</v>
      </c>
      <c r="O193" s="84">
        <v>0</v>
      </c>
      <c r="P193" s="84">
        <v>0</v>
      </c>
      <c r="Q193" s="84">
        <v>0</v>
      </c>
      <c r="R193" s="84">
        <v>0</v>
      </c>
      <c r="S193" s="84">
        <v>0</v>
      </c>
      <c r="T193" s="69"/>
      <c r="U193" s="96">
        <v>11.63</v>
      </c>
      <c r="V193" s="84">
        <f>D193*U193/1000</f>
        <v>3.4889999999999997E-2</v>
      </c>
    </row>
    <row r="194" spans="1:24" s="67" customFormat="1" x14ac:dyDescent="0.2">
      <c r="A194" s="154"/>
      <c r="B194" s="144"/>
      <c r="C194" s="18" t="s">
        <v>77</v>
      </c>
      <c r="D194" s="21"/>
      <c r="E194" s="21"/>
      <c r="F194" s="21">
        <f>SUM(F187:F193)</f>
        <v>12.73</v>
      </c>
      <c r="G194" s="21">
        <f t="shared" ref="G194:S194" si="18">SUM(G187:G193)</f>
        <v>18.839400000000001</v>
      </c>
      <c r="H194" s="21">
        <f t="shared" si="18"/>
        <v>10.199999999999999</v>
      </c>
      <c r="I194" s="21">
        <f t="shared" si="18"/>
        <v>254.59399999999999</v>
      </c>
      <c r="J194" s="21">
        <f t="shared" si="18"/>
        <v>219.4</v>
      </c>
      <c r="K194" s="21">
        <f t="shared" si="18"/>
        <v>14.8</v>
      </c>
      <c r="L194" s="21">
        <f t="shared" si="18"/>
        <v>18.23</v>
      </c>
      <c r="M194" s="21">
        <f t="shared" si="18"/>
        <v>121.49000000000001</v>
      </c>
      <c r="N194" s="21">
        <f t="shared" si="18"/>
        <v>1.82</v>
      </c>
      <c r="O194" s="21">
        <f t="shared" si="18"/>
        <v>0</v>
      </c>
      <c r="P194" s="21">
        <f t="shared" si="18"/>
        <v>0.18</v>
      </c>
      <c r="Q194" s="21">
        <f t="shared" si="18"/>
        <v>0.2</v>
      </c>
      <c r="R194" s="21">
        <f t="shared" si="18"/>
        <v>2.5099999999999998</v>
      </c>
      <c r="S194" s="21">
        <f t="shared" si="18"/>
        <v>2.4</v>
      </c>
      <c r="T194" s="69"/>
      <c r="U194" s="96"/>
      <c r="V194" s="21">
        <f>SUM(V187:V193)</f>
        <v>20.069904999999999</v>
      </c>
      <c r="W194" s="154"/>
      <c r="X194" s="154"/>
    </row>
    <row r="195" spans="1:24" s="67" customFormat="1" x14ac:dyDescent="0.2">
      <c r="A195" s="154"/>
      <c r="B195" s="136" t="s">
        <v>98</v>
      </c>
      <c r="C195" s="71" t="s">
        <v>99</v>
      </c>
      <c r="D195" s="72"/>
      <c r="E195" s="73">
        <v>50</v>
      </c>
      <c r="F195" s="29"/>
      <c r="G195" s="74"/>
      <c r="H195" s="74"/>
      <c r="I195" s="74"/>
      <c r="J195" s="75"/>
      <c r="K195" s="74"/>
      <c r="L195" s="74"/>
      <c r="M195" s="75"/>
      <c r="N195" s="74"/>
      <c r="O195" s="74"/>
      <c r="P195" s="74"/>
      <c r="Q195" s="74"/>
      <c r="R195" s="74"/>
      <c r="S195" s="74"/>
      <c r="T195" s="69"/>
      <c r="U195" s="96"/>
      <c r="V195" s="84"/>
      <c r="W195" s="154"/>
      <c r="X195" s="154"/>
    </row>
    <row r="196" spans="1:24" s="26" customFormat="1" x14ac:dyDescent="0.2">
      <c r="B196" s="136"/>
      <c r="C196" s="30" t="s">
        <v>100</v>
      </c>
      <c r="D196" s="31">
        <v>50</v>
      </c>
      <c r="E196" s="31">
        <v>50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69"/>
      <c r="U196" s="96">
        <v>0</v>
      </c>
      <c r="V196" s="84">
        <v>0</v>
      </c>
    </row>
    <row r="197" spans="1:24" s="26" customFormat="1" ht="25.5" x14ac:dyDescent="0.2">
      <c r="B197" s="136"/>
      <c r="C197" s="30" t="s">
        <v>34</v>
      </c>
      <c r="D197" s="31">
        <v>2.5</v>
      </c>
      <c r="E197" s="31">
        <v>2.5</v>
      </c>
      <c r="F197" s="31">
        <v>0</v>
      </c>
      <c r="G197" s="31">
        <v>2.5</v>
      </c>
      <c r="H197" s="31">
        <v>0</v>
      </c>
      <c r="I197" s="31">
        <v>22.4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69"/>
      <c r="U197" s="96">
        <v>83.43</v>
      </c>
      <c r="V197" s="84">
        <f t="shared" ref="V197:V204" si="19">D197*U197/1000</f>
        <v>0.20857500000000001</v>
      </c>
    </row>
    <row r="198" spans="1:24" x14ac:dyDescent="0.2">
      <c r="B198" s="136"/>
      <c r="C198" s="30" t="s">
        <v>38</v>
      </c>
      <c r="D198" s="31">
        <v>2.5</v>
      </c>
      <c r="E198" s="31">
        <v>2.5</v>
      </c>
      <c r="F198" s="31">
        <v>0.3</v>
      </c>
      <c r="G198" s="31">
        <v>0</v>
      </c>
      <c r="H198" s="31">
        <v>1.7</v>
      </c>
      <c r="I198" s="31">
        <v>8.4</v>
      </c>
      <c r="J198" s="31">
        <v>4.4000000000000004</v>
      </c>
      <c r="K198" s="31">
        <v>0.6</v>
      </c>
      <c r="L198" s="31">
        <v>1.1000000000000001</v>
      </c>
      <c r="M198" s="31">
        <v>2.9</v>
      </c>
      <c r="N198" s="31">
        <v>0.05</v>
      </c>
      <c r="O198" s="31">
        <v>0</v>
      </c>
      <c r="P198" s="31">
        <v>0</v>
      </c>
      <c r="Q198" s="31">
        <v>0</v>
      </c>
      <c r="R198" s="31">
        <v>0.03</v>
      </c>
      <c r="S198" s="31">
        <v>0</v>
      </c>
      <c r="T198" s="69"/>
      <c r="U198" s="96">
        <v>27.31</v>
      </c>
      <c r="V198" s="84">
        <f t="shared" si="19"/>
        <v>6.8274999999999988E-2</v>
      </c>
    </row>
    <row r="199" spans="1:24" x14ac:dyDescent="0.2">
      <c r="A199" s="54"/>
      <c r="B199" s="136"/>
      <c r="C199" s="30" t="s">
        <v>36</v>
      </c>
      <c r="D199" s="31">
        <v>2</v>
      </c>
      <c r="E199" s="31">
        <v>2</v>
      </c>
      <c r="F199" s="31">
        <v>0.1</v>
      </c>
      <c r="G199" s="31">
        <v>0</v>
      </c>
      <c r="H199" s="31">
        <v>0.4</v>
      </c>
      <c r="I199" s="31">
        <v>2</v>
      </c>
      <c r="J199" s="31">
        <v>17.5</v>
      </c>
      <c r="K199" s="31">
        <v>0.4</v>
      </c>
      <c r="L199" s="31">
        <v>1</v>
      </c>
      <c r="M199" s="31">
        <v>1.36</v>
      </c>
      <c r="N199" s="31">
        <v>0.05</v>
      </c>
      <c r="O199" s="31">
        <v>0</v>
      </c>
      <c r="P199" s="31">
        <v>0</v>
      </c>
      <c r="Q199" s="31">
        <v>0</v>
      </c>
      <c r="R199" s="31">
        <v>0.04</v>
      </c>
      <c r="S199" s="31">
        <v>0.9</v>
      </c>
      <c r="T199" s="69"/>
      <c r="U199" s="96">
        <v>120</v>
      </c>
      <c r="V199" s="84">
        <f t="shared" si="19"/>
        <v>0.24</v>
      </c>
      <c r="W199" s="54"/>
    </row>
    <row r="200" spans="1:24" x14ac:dyDescent="0.2">
      <c r="A200" s="54"/>
      <c r="B200" s="136"/>
      <c r="C200" s="30" t="s">
        <v>32</v>
      </c>
      <c r="D200" s="31">
        <v>5</v>
      </c>
      <c r="E200" s="31">
        <v>4</v>
      </c>
      <c r="F200" s="31">
        <v>0.06</v>
      </c>
      <c r="G200" s="31">
        <v>0</v>
      </c>
      <c r="H200" s="31">
        <v>0.28000000000000003</v>
      </c>
      <c r="I200" s="31">
        <v>1.4</v>
      </c>
      <c r="J200" s="31">
        <v>8</v>
      </c>
      <c r="K200" s="31">
        <v>1</v>
      </c>
      <c r="L200" s="31">
        <v>1.5</v>
      </c>
      <c r="M200" s="31">
        <v>2.2000000000000002</v>
      </c>
      <c r="N200" s="31">
        <v>0</v>
      </c>
      <c r="O200" s="31">
        <v>0</v>
      </c>
      <c r="P200" s="31">
        <v>0</v>
      </c>
      <c r="Q200" s="31">
        <v>0</v>
      </c>
      <c r="R200" s="31">
        <v>0.04</v>
      </c>
      <c r="S200" s="31">
        <v>0.2</v>
      </c>
      <c r="T200" s="69"/>
      <c r="U200" s="96">
        <v>32.71</v>
      </c>
      <c r="V200" s="84">
        <f t="shared" si="19"/>
        <v>0.16355</v>
      </c>
      <c r="W200" s="54"/>
    </row>
    <row r="201" spans="1:24" x14ac:dyDescent="0.2">
      <c r="A201" s="54"/>
      <c r="B201" s="136"/>
      <c r="C201" s="30" t="s">
        <v>33</v>
      </c>
      <c r="D201" s="31">
        <v>1.2</v>
      </c>
      <c r="E201" s="31">
        <v>1</v>
      </c>
      <c r="F201" s="31">
        <v>0.01</v>
      </c>
      <c r="G201" s="31">
        <v>0</v>
      </c>
      <c r="H201" s="31">
        <v>0.08</v>
      </c>
      <c r="I201" s="31">
        <v>0.41</v>
      </c>
      <c r="J201" s="31">
        <v>1.75</v>
      </c>
      <c r="K201" s="31">
        <v>0.31</v>
      </c>
      <c r="L201" s="31">
        <v>0.14000000000000001</v>
      </c>
      <c r="M201" s="31">
        <v>0.57999999999999996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0.1</v>
      </c>
      <c r="T201" s="69"/>
      <c r="U201" s="96">
        <v>29.62</v>
      </c>
      <c r="V201" s="84">
        <f t="shared" si="19"/>
        <v>3.5543999999999999E-2</v>
      </c>
      <c r="W201" s="54"/>
    </row>
    <row r="202" spans="1:24" x14ac:dyDescent="0.2">
      <c r="A202" s="54"/>
      <c r="B202" s="136"/>
      <c r="C202" s="30" t="s">
        <v>30</v>
      </c>
      <c r="D202" s="31">
        <v>0.75</v>
      </c>
      <c r="E202" s="31">
        <v>0.75</v>
      </c>
      <c r="F202" s="31">
        <v>0</v>
      </c>
      <c r="G202" s="31">
        <v>0</v>
      </c>
      <c r="H202" s="31">
        <v>0.7</v>
      </c>
      <c r="I202" s="31">
        <v>2.8</v>
      </c>
      <c r="J202" s="31">
        <v>0.02</v>
      </c>
      <c r="K202" s="31">
        <v>0.01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69"/>
      <c r="U202" s="96">
        <v>50.97</v>
      </c>
      <c r="V202" s="84">
        <f t="shared" si="19"/>
        <v>3.8227499999999998E-2</v>
      </c>
      <c r="W202" s="54"/>
    </row>
    <row r="203" spans="1:24" x14ac:dyDescent="0.2">
      <c r="A203" s="54"/>
      <c r="B203" s="136"/>
      <c r="C203" s="30" t="s">
        <v>46</v>
      </c>
      <c r="D203" s="31">
        <v>0.5</v>
      </c>
      <c r="E203" s="31">
        <v>0.5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69"/>
      <c r="U203" s="96">
        <v>11.63</v>
      </c>
      <c r="V203" s="84">
        <f t="shared" si="19"/>
        <v>5.8150000000000007E-3</v>
      </c>
      <c r="W203" s="54"/>
    </row>
    <row r="204" spans="1:24" x14ac:dyDescent="0.2">
      <c r="A204" s="54"/>
      <c r="B204" s="136"/>
      <c r="C204" s="76" t="s">
        <v>39</v>
      </c>
      <c r="D204" s="34">
        <v>0.02</v>
      </c>
      <c r="E204" s="34">
        <v>0.02</v>
      </c>
      <c r="F204" s="34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v>0</v>
      </c>
      <c r="S204" s="34">
        <v>0</v>
      </c>
      <c r="T204" s="69"/>
      <c r="U204" s="96">
        <v>300</v>
      </c>
      <c r="V204" s="84">
        <f t="shared" si="19"/>
        <v>6.0000000000000001E-3</v>
      </c>
      <c r="W204" s="54"/>
    </row>
    <row r="205" spans="1:24" x14ac:dyDescent="0.2">
      <c r="A205" s="54"/>
      <c r="B205" s="136"/>
      <c r="C205" s="71" t="s">
        <v>77</v>
      </c>
      <c r="D205" s="79"/>
      <c r="E205" s="79"/>
      <c r="F205" s="79">
        <f>SUM(F196:F204)</f>
        <v>0.47000000000000003</v>
      </c>
      <c r="G205" s="79">
        <f t="shared" ref="G205:S205" si="20">SUM(G196:G204)</f>
        <v>2.5</v>
      </c>
      <c r="H205" s="79">
        <f t="shared" si="20"/>
        <v>3.16</v>
      </c>
      <c r="I205" s="79">
        <f t="shared" si="20"/>
        <v>37.409999999999989</v>
      </c>
      <c r="J205" s="79">
        <f t="shared" si="20"/>
        <v>31.669999999999998</v>
      </c>
      <c r="K205" s="79">
        <f t="shared" si="20"/>
        <v>2.3199999999999998</v>
      </c>
      <c r="L205" s="79">
        <f t="shared" si="20"/>
        <v>3.74</v>
      </c>
      <c r="M205" s="79">
        <f t="shared" si="20"/>
        <v>7.04</v>
      </c>
      <c r="N205" s="79">
        <f t="shared" si="20"/>
        <v>0.1</v>
      </c>
      <c r="O205" s="79">
        <f t="shared" si="20"/>
        <v>0</v>
      </c>
      <c r="P205" s="79">
        <f t="shared" si="20"/>
        <v>0</v>
      </c>
      <c r="Q205" s="79">
        <f t="shared" si="20"/>
        <v>0</v>
      </c>
      <c r="R205" s="79">
        <f t="shared" si="20"/>
        <v>0.11000000000000001</v>
      </c>
      <c r="S205" s="79">
        <f t="shared" si="20"/>
        <v>1.2000000000000002</v>
      </c>
      <c r="T205" s="69"/>
      <c r="U205" s="96"/>
      <c r="V205" s="21">
        <f>SUM(V196:V204)</f>
        <v>0.76598650000000001</v>
      </c>
      <c r="W205" s="54"/>
    </row>
    <row r="206" spans="1:24" ht="25.5" x14ac:dyDescent="0.2">
      <c r="A206" s="54"/>
      <c r="B206" s="31" t="s">
        <v>70</v>
      </c>
      <c r="C206" s="28" t="s">
        <v>71</v>
      </c>
      <c r="D206" s="31"/>
      <c r="E206" s="29">
        <v>150</v>
      </c>
      <c r="F206" s="29"/>
      <c r="G206" s="29"/>
      <c r="H206" s="59"/>
      <c r="I206" s="29"/>
      <c r="J206" s="59"/>
      <c r="K206" s="49"/>
      <c r="L206" s="29"/>
      <c r="M206" s="29"/>
      <c r="N206" s="29"/>
      <c r="O206" s="29"/>
      <c r="P206" s="29"/>
      <c r="Q206" s="29"/>
      <c r="R206" s="29"/>
      <c r="S206" s="29"/>
      <c r="T206" s="69"/>
      <c r="U206" s="96"/>
      <c r="V206" s="84"/>
      <c r="W206" s="54"/>
    </row>
    <row r="207" spans="1:24" x14ac:dyDescent="0.2">
      <c r="A207" s="54"/>
      <c r="B207" s="31"/>
      <c r="C207" s="30" t="s">
        <v>72</v>
      </c>
      <c r="D207" s="31">
        <v>50</v>
      </c>
      <c r="E207" s="31">
        <v>50</v>
      </c>
      <c r="F207" s="31">
        <v>6.3</v>
      </c>
      <c r="G207" s="31">
        <v>0.67</v>
      </c>
      <c r="H207" s="33">
        <v>42.5</v>
      </c>
      <c r="I207" s="31">
        <v>205.57</v>
      </c>
      <c r="J207" s="60">
        <v>75.64</v>
      </c>
      <c r="K207" s="60">
        <v>10.98</v>
      </c>
      <c r="L207" s="31">
        <v>9.76</v>
      </c>
      <c r="M207" s="31">
        <v>53</v>
      </c>
      <c r="N207" s="31">
        <v>0.73</v>
      </c>
      <c r="O207" s="31">
        <v>0</v>
      </c>
      <c r="P207" s="31">
        <v>0.1</v>
      </c>
      <c r="Q207" s="31">
        <v>0.04</v>
      </c>
      <c r="R207" s="31">
        <v>0.74</v>
      </c>
      <c r="S207" s="31">
        <v>0</v>
      </c>
      <c r="T207" s="69"/>
      <c r="U207" s="96">
        <v>44.89</v>
      </c>
      <c r="V207" s="84">
        <f>D207*U207/1000</f>
        <v>2.2444999999999999</v>
      </c>
      <c r="W207" s="54"/>
    </row>
    <row r="208" spans="1:24" x14ac:dyDescent="0.2">
      <c r="A208" s="54"/>
      <c r="B208" s="31"/>
      <c r="C208" s="30" t="s">
        <v>46</v>
      </c>
      <c r="D208" s="31">
        <v>1.6</v>
      </c>
      <c r="E208" s="31">
        <v>1.6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69"/>
      <c r="U208" s="96">
        <v>11.63</v>
      </c>
      <c r="V208" s="84">
        <f>D208*U208/1000</f>
        <v>1.8608E-2</v>
      </c>
      <c r="W208" s="54"/>
    </row>
    <row r="209" spans="1:23" x14ac:dyDescent="0.2">
      <c r="A209" s="54"/>
      <c r="B209" s="31"/>
      <c r="C209" s="30" t="s">
        <v>37</v>
      </c>
      <c r="D209" s="31">
        <v>5.3</v>
      </c>
      <c r="E209" s="31">
        <v>5.3</v>
      </c>
      <c r="F209" s="69">
        <f>0.8*E209/100</f>
        <v>4.24E-2</v>
      </c>
      <c r="G209" s="69">
        <f>72.5*E209/100</f>
        <v>3.8424999999999998</v>
      </c>
      <c r="H209" s="69">
        <f>1.3*E209/100</f>
        <v>6.8900000000000003E-2</v>
      </c>
      <c r="I209" s="69">
        <f>661*E209/100</f>
        <v>35.032999999999994</v>
      </c>
      <c r="J209" s="86">
        <f>23*E209/100</f>
        <v>1.2189999999999999</v>
      </c>
      <c r="K209" s="69">
        <f>22*E209/100</f>
        <v>1.1659999999999999</v>
      </c>
      <c r="L209" s="69">
        <f>3*E209/100</f>
        <v>0.15899999999999997</v>
      </c>
      <c r="M209" s="85">
        <f>19*E209/100</f>
        <v>1.0070000000000001</v>
      </c>
      <c r="N209" s="69">
        <f>0.2*E209/100</f>
        <v>1.06E-2</v>
      </c>
      <c r="O209" s="69">
        <f>0.5*E209/100</f>
        <v>2.6499999999999999E-2</v>
      </c>
      <c r="P209" s="69">
        <f>0</f>
        <v>0</v>
      </c>
      <c r="Q209" s="96">
        <f>0.01*E209/1000</f>
        <v>5.3000000000000001E-5</v>
      </c>
      <c r="R209" s="69">
        <f>0.1*E209/100</f>
        <v>5.3E-3</v>
      </c>
      <c r="S209" s="69">
        <f>0</f>
        <v>0</v>
      </c>
      <c r="T209" s="69"/>
      <c r="U209" s="96">
        <v>337.78</v>
      </c>
      <c r="V209" s="84">
        <f>D209*U209/1000</f>
        <v>1.7902339999999997</v>
      </c>
      <c r="W209" s="54"/>
    </row>
    <row r="210" spans="1:23" x14ac:dyDescent="0.2">
      <c r="A210" s="54"/>
      <c r="B210" s="125"/>
      <c r="C210" s="71" t="s">
        <v>77</v>
      </c>
      <c r="D210" s="79"/>
      <c r="E210" s="79"/>
      <c r="F210" s="79">
        <v>6.3423999999999996</v>
      </c>
      <c r="G210" s="79">
        <v>4.5125000000000002</v>
      </c>
      <c r="H210" s="79">
        <v>42.569000000000003</v>
      </c>
      <c r="I210" s="79">
        <v>240.6</v>
      </c>
      <c r="J210" s="79">
        <v>76.858999999999995</v>
      </c>
      <c r="K210" s="79">
        <v>12.146000000000001</v>
      </c>
      <c r="L210" s="79">
        <v>9.9190000000000005</v>
      </c>
      <c r="M210" s="79">
        <v>54.006999999999998</v>
      </c>
      <c r="N210" s="79">
        <v>0.74099999999999999</v>
      </c>
      <c r="O210" s="79">
        <v>0.03</v>
      </c>
      <c r="P210" s="79">
        <v>0.1</v>
      </c>
      <c r="Q210" s="79">
        <v>0.04</v>
      </c>
      <c r="R210" s="79">
        <v>0.745</v>
      </c>
      <c r="S210" s="79">
        <v>0</v>
      </c>
      <c r="T210" s="183"/>
      <c r="U210" s="21">
        <v>4.0529999999999999</v>
      </c>
      <c r="V210" s="21">
        <v>4.0529999999999999</v>
      </c>
      <c r="W210" s="54"/>
    </row>
    <row r="211" spans="1:23" x14ac:dyDescent="0.2">
      <c r="A211" s="54"/>
      <c r="B211" s="69" t="s">
        <v>73</v>
      </c>
      <c r="C211" s="19" t="s">
        <v>74</v>
      </c>
      <c r="D211" s="313" t="s">
        <v>75</v>
      </c>
      <c r="E211" s="316"/>
      <c r="F211" s="131"/>
      <c r="G211" s="131"/>
      <c r="H211" s="131"/>
      <c r="I211" s="131"/>
      <c r="J211" s="133"/>
      <c r="K211" s="131"/>
      <c r="L211" s="131"/>
      <c r="M211" s="133"/>
      <c r="N211" s="131"/>
      <c r="O211" s="131"/>
      <c r="P211" s="131"/>
      <c r="Q211" s="131"/>
      <c r="R211" s="134"/>
      <c r="S211" s="4"/>
      <c r="T211" s="168"/>
      <c r="U211" s="84"/>
      <c r="V211" s="84"/>
      <c r="W211" s="54"/>
    </row>
    <row r="212" spans="1:23" x14ac:dyDescent="0.2">
      <c r="A212" s="54"/>
      <c r="B212" s="144"/>
      <c r="C212" s="155" t="s">
        <v>40</v>
      </c>
      <c r="D212" s="178">
        <v>50</v>
      </c>
      <c r="E212" s="178">
        <v>50</v>
      </c>
      <c r="F212" s="157">
        <v>0.1</v>
      </c>
      <c r="G212" s="157">
        <v>0</v>
      </c>
      <c r="H212" s="157">
        <v>0</v>
      </c>
      <c r="I212" s="157">
        <v>0.8</v>
      </c>
      <c r="J212" s="158">
        <v>12.4</v>
      </c>
      <c r="K212" s="157">
        <v>2.5</v>
      </c>
      <c r="L212" s="157">
        <v>2.2000000000000002</v>
      </c>
      <c r="M212" s="158">
        <v>4.0999999999999996</v>
      </c>
      <c r="N212" s="157">
        <v>0.4</v>
      </c>
      <c r="O212" s="157">
        <v>0</v>
      </c>
      <c r="P212" s="157">
        <v>0</v>
      </c>
      <c r="Q212" s="157">
        <v>0</v>
      </c>
      <c r="R212" s="179">
        <v>0</v>
      </c>
      <c r="S212" s="144">
        <v>0</v>
      </c>
      <c r="T212" s="176">
        <v>539.16999999999996</v>
      </c>
      <c r="U212" s="157">
        <v>0.53900000000000003</v>
      </c>
      <c r="V212" s="157">
        <v>0.53900000000000003</v>
      </c>
      <c r="W212" s="54"/>
    </row>
    <row r="213" spans="1:23" x14ac:dyDescent="0.2">
      <c r="A213" s="54"/>
      <c r="B213" s="144"/>
      <c r="C213" s="155" t="s">
        <v>30</v>
      </c>
      <c r="D213" s="178">
        <v>15</v>
      </c>
      <c r="E213" s="178">
        <v>15</v>
      </c>
      <c r="F213" s="157">
        <v>0</v>
      </c>
      <c r="G213" s="157">
        <v>0</v>
      </c>
      <c r="H213" s="157">
        <v>15</v>
      </c>
      <c r="I213" s="157">
        <v>56.9</v>
      </c>
      <c r="J213" s="158">
        <v>0.5</v>
      </c>
      <c r="K213" s="157">
        <v>0.4</v>
      </c>
      <c r="L213" s="157">
        <v>0</v>
      </c>
      <c r="M213" s="158">
        <v>0</v>
      </c>
      <c r="N213" s="157">
        <v>0</v>
      </c>
      <c r="O213" s="157">
        <v>0</v>
      </c>
      <c r="P213" s="157">
        <v>0</v>
      </c>
      <c r="Q213" s="157">
        <v>0</v>
      </c>
      <c r="R213" s="179">
        <v>0</v>
      </c>
      <c r="S213" s="144">
        <v>0</v>
      </c>
      <c r="T213" s="176">
        <v>50.97</v>
      </c>
      <c r="U213" s="157">
        <v>0.76500000000000001</v>
      </c>
      <c r="V213" s="157">
        <v>0.76500000000000001</v>
      </c>
      <c r="W213" s="54"/>
    </row>
    <row r="214" spans="1:23" x14ac:dyDescent="0.2">
      <c r="A214" s="54"/>
      <c r="B214" s="144"/>
      <c r="C214" s="155" t="s">
        <v>35</v>
      </c>
      <c r="D214" s="178">
        <v>150</v>
      </c>
      <c r="E214" s="178">
        <v>150</v>
      </c>
      <c r="F214" s="157">
        <v>0</v>
      </c>
      <c r="G214" s="157">
        <v>0</v>
      </c>
      <c r="H214" s="157">
        <v>0</v>
      </c>
      <c r="I214" s="157">
        <v>0</v>
      </c>
      <c r="J214" s="157">
        <v>0</v>
      </c>
      <c r="K214" s="157">
        <v>0</v>
      </c>
      <c r="L214" s="157">
        <v>0</v>
      </c>
      <c r="M214" s="157">
        <v>0</v>
      </c>
      <c r="N214" s="157">
        <v>0</v>
      </c>
      <c r="O214" s="157">
        <v>0</v>
      </c>
      <c r="P214" s="157">
        <v>0</v>
      </c>
      <c r="Q214" s="157">
        <v>0</v>
      </c>
      <c r="R214" s="179">
        <v>0</v>
      </c>
      <c r="S214" s="144">
        <v>0</v>
      </c>
      <c r="T214" s="176">
        <v>0</v>
      </c>
      <c r="U214" s="157">
        <v>0</v>
      </c>
      <c r="V214" s="157">
        <v>0</v>
      </c>
      <c r="W214" s="54"/>
    </row>
    <row r="215" spans="1:23" x14ac:dyDescent="0.2">
      <c r="A215" s="54"/>
      <c r="B215" s="144"/>
      <c r="C215" s="163" t="s">
        <v>47</v>
      </c>
      <c r="D215" s="138"/>
      <c r="E215" s="138"/>
      <c r="F215" s="138">
        <v>0.1</v>
      </c>
      <c r="G215" s="138">
        <v>0</v>
      </c>
      <c r="H215" s="138">
        <v>15</v>
      </c>
      <c r="I215" s="138">
        <v>57.7</v>
      </c>
      <c r="J215" s="138">
        <v>12.9</v>
      </c>
      <c r="K215" s="138">
        <v>2.9</v>
      </c>
      <c r="L215" s="138">
        <v>2.2000000000000002</v>
      </c>
      <c r="M215" s="138">
        <v>4.12</v>
      </c>
      <c r="N215" s="138">
        <v>0.4</v>
      </c>
      <c r="O215" s="138">
        <v>0</v>
      </c>
      <c r="P215" s="138">
        <v>0</v>
      </c>
      <c r="Q215" s="138">
        <v>0</v>
      </c>
      <c r="R215" s="149">
        <v>0</v>
      </c>
      <c r="S215" s="57">
        <v>0</v>
      </c>
      <c r="T215" s="139"/>
      <c r="U215" s="138">
        <v>1.304</v>
      </c>
      <c r="V215" s="138">
        <v>1.304</v>
      </c>
      <c r="W215" s="54"/>
    </row>
    <row r="216" spans="1:23" ht="25.5" x14ac:dyDescent="0.2">
      <c r="A216" s="54"/>
      <c r="B216" s="69" t="s">
        <v>24</v>
      </c>
      <c r="C216" s="5" t="s">
        <v>105</v>
      </c>
      <c r="D216" s="3">
        <v>30</v>
      </c>
      <c r="E216" s="3">
        <v>30</v>
      </c>
      <c r="F216" s="69">
        <v>1.54</v>
      </c>
      <c r="G216" s="69">
        <v>0.6</v>
      </c>
      <c r="H216" s="69">
        <v>9.9600000000000009</v>
      </c>
      <c r="I216" s="69">
        <v>52.4</v>
      </c>
      <c r="J216" s="85">
        <v>25.4</v>
      </c>
      <c r="K216" s="69">
        <v>5.2</v>
      </c>
      <c r="L216" s="69">
        <v>7</v>
      </c>
      <c r="M216" s="85">
        <v>16.600000000000001</v>
      </c>
      <c r="N216" s="69">
        <v>0.32</v>
      </c>
      <c r="O216" s="69">
        <v>0</v>
      </c>
      <c r="P216" s="69">
        <v>3.2000000000000001E-2</v>
      </c>
      <c r="Q216" s="69">
        <v>1.6E-2</v>
      </c>
      <c r="R216" s="69">
        <v>0.308</v>
      </c>
      <c r="S216" s="69">
        <v>0</v>
      </c>
      <c r="T216" s="3">
        <v>29.29</v>
      </c>
      <c r="U216" s="32">
        <v>0.58584000000000003</v>
      </c>
      <c r="V216" s="32">
        <v>0.58584000000000003</v>
      </c>
      <c r="W216" s="54"/>
    </row>
    <row r="217" spans="1:23" x14ac:dyDescent="0.2">
      <c r="A217" s="54"/>
      <c r="B217" s="69"/>
      <c r="C217" s="3" t="s">
        <v>164</v>
      </c>
      <c r="D217" s="197"/>
      <c r="E217" s="198"/>
      <c r="F217" s="4">
        <v>30.7408</v>
      </c>
      <c r="G217" s="4">
        <v>29.9346</v>
      </c>
      <c r="H217" s="4">
        <v>82.557100000000005</v>
      </c>
      <c r="I217" s="4">
        <v>699.10580000000004</v>
      </c>
      <c r="J217" s="11">
        <v>2155.17</v>
      </c>
      <c r="K217" s="4">
        <v>181.37</v>
      </c>
      <c r="L217" s="4">
        <v>225.82300000000001</v>
      </c>
      <c r="M217" s="11">
        <v>651.62760000000003</v>
      </c>
      <c r="N217" s="4">
        <v>5.8186999999999998</v>
      </c>
      <c r="O217" s="4">
        <v>2.9773999999999998</v>
      </c>
      <c r="P217" s="4">
        <v>0.65668000000000004</v>
      </c>
      <c r="Q217" s="4">
        <v>0.46314</v>
      </c>
      <c r="R217" s="51">
        <v>6.1501000000000001</v>
      </c>
      <c r="S217" s="4">
        <v>41.7408</v>
      </c>
      <c r="T217" s="69"/>
      <c r="U217" s="32">
        <v>28.36</v>
      </c>
      <c r="V217" s="32">
        <v>28.36</v>
      </c>
      <c r="W217" s="54"/>
    </row>
    <row r="218" spans="1:23" x14ac:dyDescent="0.2">
      <c r="A218" s="54"/>
      <c r="B218" s="69"/>
      <c r="C218" s="196" t="s">
        <v>63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70"/>
      <c r="S218" s="69"/>
      <c r="T218" s="69"/>
      <c r="U218" s="96"/>
      <c r="V218" s="84"/>
      <c r="W218" s="54"/>
    </row>
    <row r="219" spans="1:23" x14ac:dyDescent="0.2">
      <c r="A219" s="54"/>
      <c r="B219" s="69"/>
      <c r="C219" s="196" t="s">
        <v>163</v>
      </c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70"/>
      <c r="S219" s="69"/>
      <c r="T219" s="69"/>
      <c r="U219" s="96"/>
      <c r="V219" s="84"/>
      <c r="W219" s="54"/>
    </row>
    <row r="220" spans="1:23" x14ac:dyDescent="0.2">
      <c r="B220" s="69" t="s">
        <v>51</v>
      </c>
      <c r="C220" s="3" t="s">
        <v>52</v>
      </c>
      <c r="D220" s="313">
        <v>225</v>
      </c>
      <c r="E220" s="314"/>
      <c r="F220" s="3"/>
      <c r="G220" s="3"/>
      <c r="H220" s="3"/>
      <c r="I220" s="3"/>
      <c r="J220" s="3"/>
      <c r="K220" s="7"/>
      <c r="L220" s="3"/>
      <c r="M220" s="3"/>
      <c r="N220" s="3"/>
      <c r="O220" s="3"/>
      <c r="P220" s="3"/>
      <c r="Q220" s="3"/>
      <c r="R220" s="50"/>
      <c r="S220" s="3"/>
      <c r="T220" s="3"/>
      <c r="U220" s="32"/>
      <c r="V220" s="21"/>
    </row>
    <row r="221" spans="1:23" x14ac:dyDescent="0.2">
      <c r="B221" s="69"/>
      <c r="C221" s="69" t="s">
        <v>44</v>
      </c>
      <c r="D221" s="159">
        <v>144</v>
      </c>
      <c r="E221" s="159">
        <v>107</v>
      </c>
      <c r="F221" s="69">
        <v>18.7</v>
      </c>
      <c r="G221" s="69">
        <v>16.100000000000001</v>
      </c>
      <c r="H221" s="69">
        <v>0</v>
      </c>
      <c r="I221" s="69">
        <v>220</v>
      </c>
      <c r="J221" s="69">
        <v>236</v>
      </c>
      <c r="K221" s="85">
        <v>14</v>
      </c>
      <c r="L221" s="69">
        <v>19</v>
      </c>
      <c r="M221" s="69">
        <v>160</v>
      </c>
      <c r="N221" s="69">
        <v>1.3</v>
      </c>
      <c r="O221" s="69">
        <v>0.04</v>
      </c>
      <c r="P221" s="69">
        <v>0.09</v>
      </c>
      <c r="Q221" s="69">
        <v>0.15</v>
      </c>
      <c r="R221" s="70">
        <v>6.1</v>
      </c>
      <c r="S221" s="69">
        <v>2</v>
      </c>
      <c r="T221" s="69"/>
      <c r="U221" s="96">
        <v>141.57</v>
      </c>
      <c r="V221" s="84">
        <f t="shared" ref="V221:V227" si="21">D221*U221/1000</f>
        <v>20.38608</v>
      </c>
    </row>
    <row r="222" spans="1:23" ht="25.5" x14ac:dyDescent="0.2">
      <c r="B222" s="69"/>
      <c r="C222" s="65" t="s">
        <v>34</v>
      </c>
      <c r="D222" s="159">
        <v>9.8000000000000007</v>
      </c>
      <c r="E222" s="159">
        <v>9.8000000000000007</v>
      </c>
      <c r="F222" s="69">
        <v>0</v>
      </c>
      <c r="G222" s="69">
        <v>10.5</v>
      </c>
      <c r="H222" s="69">
        <v>0</v>
      </c>
      <c r="I222" s="69">
        <v>94.4</v>
      </c>
      <c r="J222" s="69">
        <v>0</v>
      </c>
      <c r="K222" s="69">
        <v>0</v>
      </c>
      <c r="L222" s="69">
        <v>0</v>
      </c>
      <c r="M222" s="69">
        <v>0</v>
      </c>
      <c r="N222" s="69">
        <v>0</v>
      </c>
      <c r="O222" s="69">
        <v>0</v>
      </c>
      <c r="P222" s="69">
        <v>0</v>
      </c>
      <c r="Q222" s="69">
        <v>0</v>
      </c>
      <c r="R222" s="70">
        <v>0</v>
      </c>
      <c r="S222" s="69">
        <v>0</v>
      </c>
      <c r="T222" s="69"/>
      <c r="U222" s="96">
        <v>83.43</v>
      </c>
      <c r="V222" s="84">
        <f t="shared" si="21"/>
        <v>0.81761400000000017</v>
      </c>
    </row>
    <row r="223" spans="1:23" x14ac:dyDescent="0.2">
      <c r="B223" s="69"/>
      <c r="C223" s="69" t="s">
        <v>32</v>
      </c>
      <c r="D223" s="159">
        <v>14</v>
      </c>
      <c r="E223" s="159">
        <v>11.2</v>
      </c>
      <c r="F223" s="69">
        <v>0.16</v>
      </c>
      <c r="G223" s="69">
        <v>0</v>
      </c>
      <c r="H223" s="69">
        <v>0.83</v>
      </c>
      <c r="I223" s="69">
        <v>4.2</v>
      </c>
      <c r="J223" s="69">
        <v>24</v>
      </c>
      <c r="K223" s="69">
        <v>3.2</v>
      </c>
      <c r="L223" s="69">
        <v>4.5599999999999996</v>
      </c>
      <c r="M223" s="69">
        <v>6.6</v>
      </c>
      <c r="N223" s="69">
        <v>0.08</v>
      </c>
      <c r="O223" s="69">
        <v>0</v>
      </c>
      <c r="P223" s="69">
        <v>0</v>
      </c>
      <c r="Q223" s="69">
        <v>0</v>
      </c>
      <c r="R223" s="70">
        <v>0.12</v>
      </c>
      <c r="S223" s="69">
        <v>0.6</v>
      </c>
      <c r="T223" s="69"/>
      <c r="U223" s="96">
        <v>32.71</v>
      </c>
      <c r="V223" s="84">
        <f t="shared" si="21"/>
        <v>0.45794000000000001</v>
      </c>
    </row>
    <row r="224" spans="1:23" x14ac:dyDescent="0.2">
      <c r="B224" s="69"/>
      <c r="C224" s="69" t="s">
        <v>36</v>
      </c>
      <c r="D224" s="159">
        <v>3</v>
      </c>
      <c r="E224" s="159">
        <v>3</v>
      </c>
      <c r="F224" s="69">
        <v>0.17</v>
      </c>
      <c r="G224" s="69">
        <v>0</v>
      </c>
      <c r="H224" s="85">
        <v>0.8</v>
      </c>
      <c r="I224" s="85">
        <v>3.7</v>
      </c>
      <c r="J224" s="69">
        <v>31.5</v>
      </c>
      <c r="K224" s="69">
        <v>0.72</v>
      </c>
      <c r="L224" s="69">
        <v>1.8</v>
      </c>
      <c r="M224" s="69">
        <v>2.4</v>
      </c>
      <c r="N224" s="69">
        <v>0</v>
      </c>
      <c r="O224" s="69">
        <v>0</v>
      </c>
      <c r="P224" s="69">
        <v>0</v>
      </c>
      <c r="Q224" s="69">
        <v>0</v>
      </c>
      <c r="R224" s="70">
        <v>0</v>
      </c>
      <c r="S224" s="69">
        <v>1.6</v>
      </c>
      <c r="T224" s="69"/>
      <c r="U224" s="96">
        <v>120</v>
      </c>
      <c r="V224" s="84">
        <f t="shared" si="21"/>
        <v>0.36</v>
      </c>
    </row>
    <row r="225" spans="1:22" x14ac:dyDescent="0.2">
      <c r="B225" s="69"/>
      <c r="C225" s="69" t="s">
        <v>33</v>
      </c>
      <c r="D225" s="159">
        <v>12</v>
      </c>
      <c r="E225" s="159">
        <v>9.8000000000000007</v>
      </c>
      <c r="F225" s="69">
        <v>0.15</v>
      </c>
      <c r="G225" s="69">
        <v>0</v>
      </c>
      <c r="H225" s="69">
        <v>0.85</v>
      </c>
      <c r="I225" s="69">
        <v>4.2</v>
      </c>
      <c r="J225" s="69">
        <v>17.600000000000001</v>
      </c>
      <c r="K225" s="69">
        <v>3.1</v>
      </c>
      <c r="L225" s="69">
        <v>1.4</v>
      </c>
      <c r="M225" s="69">
        <v>5.8</v>
      </c>
      <c r="N225" s="69">
        <v>0</v>
      </c>
      <c r="O225" s="69">
        <v>0</v>
      </c>
      <c r="P225" s="69">
        <v>0</v>
      </c>
      <c r="Q225" s="69">
        <v>0</v>
      </c>
      <c r="R225" s="70">
        <v>0.02</v>
      </c>
      <c r="S225" s="69">
        <v>1</v>
      </c>
      <c r="T225" s="69"/>
      <c r="U225" s="96">
        <v>29.62</v>
      </c>
      <c r="V225" s="84">
        <f t="shared" si="21"/>
        <v>0.35543999999999998</v>
      </c>
    </row>
    <row r="226" spans="1:22" x14ac:dyDescent="0.2">
      <c r="B226" s="69"/>
      <c r="C226" s="69" t="s">
        <v>49</v>
      </c>
      <c r="D226" s="159">
        <v>49</v>
      </c>
      <c r="E226" s="159">
        <v>49</v>
      </c>
      <c r="F226" s="69">
        <v>3.68</v>
      </c>
      <c r="G226" s="69">
        <v>0.53</v>
      </c>
      <c r="H226" s="69">
        <v>37.5</v>
      </c>
      <c r="I226" s="69">
        <v>173.25</v>
      </c>
      <c r="J226" s="69">
        <v>28.35</v>
      </c>
      <c r="K226" s="85">
        <v>12.6</v>
      </c>
      <c r="L226" s="69">
        <v>11</v>
      </c>
      <c r="M226" s="69">
        <v>50.93</v>
      </c>
      <c r="N226" s="69">
        <v>0.85</v>
      </c>
      <c r="O226" s="69">
        <v>0</v>
      </c>
      <c r="P226" s="69">
        <v>0.04</v>
      </c>
      <c r="Q226" s="69">
        <v>0.02</v>
      </c>
      <c r="R226" s="70">
        <v>0.84</v>
      </c>
      <c r="S226" s="69">
        <v>0</v>
      </c>
      <c r="T226" s="69"/>
      <c r="U226" s="96">
        <v>56.43</v>
      </c>
      <c r="V226" s="84">
        <f t="shared" si="21"/>
        <v>2.7650700000000001</v>
      </c>
    </row>
    <row r="227" spans="1:22" x14ac:dyDescent="0.2">
      <c r="B227" s="69"/>
      <c r="C227" s="69" t="s">
        <v>46</v>
      </c>
      <c r="D227" s="159">
        <v>2</v>
      </c>
      <c r="E227" s="159">
        <v>2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0</v>
      </c>
      <c r="L227" s="69">
        <v>0</v>
      </c>
      <c r="M227" s="69">
        <v>0</v>
      </c>
      <c r="N227" s="69">
        <v>0</v>
      </c>
      <c r="O227" s="69">
        <v>0</v>
      </c>
      <c r="P227" s="69">
        <v>0</v>
      </c>
      <c r="Q227" s="69">
        <v>0</v>
      </c>
      <c r="R227" s="70">
        <v>0</v>
      </c>
      <c r="S227" s="69">
        <v>0</v>
      </c>
      <c r="T227" s="69"/>
      <c r="U227" s="96">
        <v>11.63</v>
      </c>
      <c r="V227" s="84">
        <f t="shared" si="21"/>
        <v>2.3260000000000003E-2</v>
      </c>
    </row>
    <row r="228" spans="1:22" x14ac:dyDescent="0.2">
      <c r="A228" s="26"/>
      <c r="B228" s="69"/>
      <c r="C228" s="39" t="s">
        <v>47</v>
      </c>
      <c r="D228" s="3"/>
      <c r="E228" s="3"/>
      <c r="F228" s="3">
        <f>SUM(F221:F227)</f>
        <v>22.86</v>
      </c>
      <c r="G228" s="3">
        <f t="shared" ref="G228:S228" si="22">SUM(G221:G227)</f>
        <v>27.130000000000003</v>
      </c>
      <c r="H228" s="3">
        <f t="shared" si="22"/>
        <v>39.979999999999997</v>
      </c>
      <c r="I228" s="3">
        <f t="shared" si="22"/>
        <v>499.74999999999994</v>
      </c>
      <c r="J228" s="3">
        <f t="shared" si="22"/>
        <v>337.45000000000005</v>
      </c>
      <c r="K228" s="3">
        <f t="shared" si="22"/>
        <v>33.619999999999997</v>
      </c>
      <c r="L228" s="3">
        <f t="shared" si="22"/>
        <v>37.76</v>
      </c>
      <c r="M228" s="3">
        <f t="shared" si="22"/>
        <v>225.73000000000002</v>
      </c>
      <c r="N228" s="3">
        <f t="shared" si="22"/>
        <v>2.23</v>
      </c>
      <c r="O228" s="3">
        <f t="shared" si="22"/>
        <v>0.04</v>
      </c>
      <c r="P228" s="3">
        <f t="shared" si="22"/>
        <v>0.13</v>
      </c>
      <c r="Q228" s="3">
        <f t="shared" si="22"/>
        <v>0.16999999999999998</v>
      </c>
      <c r="R228" s="50">
        <f t="shared" si="22"/>
        <v>7.0799999999999992</v>
      </c>
      <c r="S228" s="3">
        <f t="shared" si="22"/>
        <v>5.2</v>
      </c>
      <c r="T228" s="69"/>
      <c r="U228" s="96"/>
      <c r="V228" s="21">
        <f>SUM(V221:V227)</f>
        <v>25.165404000000002</v>
      </c>
    </row>
    <row r="229" spans="1:22" x14ac:dyDescent="0.2">
      <c r="A229" s="26"/>
      <c r="B229" s="69" t="s">
        <v>73</v>
      </c>
      <c r="C229" s="19" t="s">
        <v>74</v>
      </c>
      <c r="D229" s="313" t="s">
        <v>75</v>
      </c>
      <c r="E229" s="316"/>
      <c r="F229" s="131"/>
      <c r="G229" s="131"/>
      <c r="H229" s="131"/>
      <c r="I229" s="131"/>
      <c r="J229" s="133"/>
      <c r="K229" s="131"/>
      <c r="L229" s="131"/>
      <c r="M229" s="133"/>
      <c r="N229" s="131"/>
      <c r="O229" s="131"/>
      <c r="P229" s="131"/>
      <c r="Q229" s="131"/>
      <c r="R229" s="134"/>
      <c r="S229" s="4"/>
      <c r="T229" s="168"/>
      <c r="U229" s="84"/>
      <c r="V229" s="84"/>
    </row>
    <row r="230" spans="1:22" x14ac:dyDescent="0.2">
      <c r="A230" s="26"/>
      <c r="B230" s="144"/>
      <c r="C230" s="155" t="s">
        <v>40</v>
      </c>
      <c r="D230" s="178">
        <v>50</v>
      </c>
      <c r="E230" s="178">
        <v>50</v>
      </c>
      <c r="F230" s="157">
        <v>0.1</v>
      </c>
      <c r="G230" s="157">
        <v>0</v>
      </c>
      <c r="H230" s="157">
        <v>0</v>
      </c>
      <c r="I230" s="157">
        <v>0.8</v>
      </c>
      <c r="J230" s="158">
        <v>12.4</v>
      </c>
      <c r="K230" s="157">
        <v>2.5</v>
      </c>
      <c r="L230" s="157">
        <v>2.2000000000000002</v>
      </c>
      <c r="M230" s="158">
        <v>4.0999999999999996</v>
      </c>
      <c r="N230" s="157">
        <v>0.4</v>
      </c>
      <c r="O230" s="157">
        <v>0</v>
      </c>
      <c r="P230" s="157">
        <v>0</v>
      </c>
      <c r="Q230" s="157">
        <v>0</v>
      </c>
      <c r="R230" s="179">
        <v>0</v>
      </c>
      <c r="S230" s="144">
        <v>0</v>
      </c>
      <c r="T230" s="176">
        <v>539.16999999999996</v>
      </c>
      <c r="U230" s="157">
        <v>0.53900000000000003</v>
      </c>
      <c r="V230" s="157">
        <v>0.53900000000000003</v>
      </c>
    </row>
    <row r="231" spans="1:22" x14ac:dyDescent="0.2">
      <c r="A231" s="26"/>
      <c r="B231" s="144"/>
      <c r="C231" s="155" t="s">
        <v>30</v>
      </c>
      <c r="D231" s="178">
        <v>15</v>
      </c>
      <c r="E231" s="178">
        <v>15</v>
      </c>
      <c r="F231" s="157">
        <v>0</v>
      </c>
      <c r="G231" s="157">
        <v>0</v>
      </c>
      <c r="H231" s="157">
        <v>15</v>
      </c>
      <c r="I231" s="157">
        <v>56.9</v>
      </c>
      <c r="J231" s="158">
        <v>0.5</v>
      </c>
      <c r="K231" s="157">
        <v>0.4</v>
      </c>
      <c r="L231" s="157">
        <v>0</v>
      </c>
      <c r="M231" s="158">
        <v>0</v>
      </c>
      <c r="N231" s="157">
        <v>0</v>
      </c>
      <c r="O231" s="157">
        <v>0</v>
      </c>
      <c r="P231" s="157">
        <v>0</v>
      </c>
      <c r="Q231" s="157">
        <v>0</v>
      </c>
      <c r="R231" s="179">
        <v>0</v>
      </c>
      <c r="S231" s="144">
        <v>0</v>
      </c>
      <c r="T231" s="176">
        <v>50.97</v>
      </c>
      <c r="U231" s="157">
        <v>0.76500000000000001</v>
      </c>
      <c r="V231" s="157">
        <v>0.76500000000000001</v>
      </c>
    </row>
    <row r="232" spans="1:22" x14ac:dyDescent="0.2">
      <c r="A232" s="26"/>
      <c r="B232" s="144"/>
      <c r="C232" s="155" t="s">
        <v>35</v>
      </c>
      <c r="D232" s="178">
        <v>150</v>
      </c>
      <c r="E232" s="178">
        <v>150</v>
      </c>
      <c r="F232" s="157">
        <v>0</v>
      </c>
      <c r="G232" s="157">
        <v>0</v>
      </c>
      <c r="H232" s="157">
        <v>0</v>
      </c>
      <c r="I232" s="157">
        <v>0</v>
      </c>
      <c r="J232" s="157">
        <v>0</v>
      </c>
      <c r="K232" s="157">
        <v>0</v>
      </c>
      <c r="L232" s="157">
        <v>0</v>
      </c>
      <c r="M232" s="157">
        <v>0</v>
      </c>
      <c r="N232" s="157">
        <v>0</v>
      </c>
      <c r="O232" s="157">
        <v>0</v>
      </c>
      <c r="P232" s="157">
        <v>0</v>
      </c>
      <c r="Q232" s="157">
        <v>0</v>
      </c>
      <c r="R232" s="179">
        <v>0</v>
      </c>
      <c r="S232" s="144">
        <v>0</v>
      </c>
      <c r="T232" s="176">
        <v>0</v>
      </c>
      <c r="U232" s="157">
        <v>0</v>
      </c>
      <c r="V232" s="157">
        <v>0</v>
      </c>
    </row>
    <row r="233" spans="1:22" x14ac:dyDescent="0.2">
      <c r="A233" s="26"/>
      <c r="B233" s="144"/>
      <c r="C233" s="163" t="s">
        <v>47</v>
      </c>
      <c r="D233" s="138"/>
      <c r="E233" s="138"/>
      <c r="F233" s="138">
        <v>0.1</v>
      </c>
      <c r="G233" s="138">
        <v>0</v>
      </c>
      <c r="H233" s="138">
        <v>15</v>
      </c>
      <c r="I233" s="138">
        <v>57.7</v>
      </c>
      <c r="J233" s="138">
        <v>12.9</v>
      </c>
      <c r="K233" s="138">
        <v>2.9</v>
      </c>
      <c r="L233" s="138">
        <v>2.2000000000000002</v>
      </c>
      <c r="M233" s="138">
        <v>4.12</v>
      </c>
      <c r="N233" s="138">
        <v>0.4</v>
      </c>
      <c r="O233" s="138">
        <v>0</v>
      </c>
      <c r="P233" s="138">
        <v>0</v>
      </c>
      <c r="Q233" s="138">
        <v>0</v>
      </c>
      <c r="R233" s="149">
        <v>0</v>
      </c>
      <c r="S233" s="57">
        <v>0</v>
      </c>
      <c r="T233" s="139"/>
      <c r="U233" s="138">
        <v>1.304</v>
      </c>
      <c r="V233" s="138">
        <v>1.304</v>
      </c>
    </row>
    <row r="234" spans="1:22" x14ac:dyDescent="0.2">
      <c r="A234" s="26"/>
      <c r="B234" s="69" t="s">
        <v>24</v>
      </c>
      <c r="C234" s="3" t="s">
        <v>105</v>
      </c>
      <c r="D234" s="3">
        <v>30</v>
      </c>
      <c r="E234" s="21">
        <v>30</v>
      </c>
      <c r="F234" s="3">
        <v>1.54</v>
      </c>
      <c r="G234" s="3">
        <v>0.6</v>
      </c>
      <c r="H234" s="3">
        <v>9.9600000000000009</v>
      </c>
      <c r="I234" s="3">
        <v>52.4</v>
      </c>
      <c r="J234" s="3">
        <v>25.4</v>
      </c>
      <c r="K234" s="3">
        <v>5.2</v>
      </c>
      <c r="L234" s="3">
        <v>7</v>
      </c>
      <c r="M234" s="3">
        <v>16.600000000000001</v>
      </c>
      <c r="N234" s="3">
        <v>0.32</v>
      </c>
      <c r="O234" s="3">
        <v>0</v>
      </c>
      <c r="P234" s="3">
        <v>3.2000000000000001E-2</v>
      </c>
      <c r="Q234" s="3">
        <v>1.6E-2</v>
      </c>
      <c r="R234" s="50">
        <v>0.308</v>
      </c>
      <c r="S234" s="3">
        <v>0</v>
      </c>
      <c r="T234" s="3">
        <v>29.29</v>
      </c>
      <c r="U234" s="32">
        <v>0.58584000000000003</v>
      </c>
      <c r="V234" s="32">
        <v>0.58584000000000003</v>
      </c>
    </row>
    <row r="235" spans="1:22" x14ac:dyDescent="0.2">
      <c r="A235" s="26"/>
      <c r="B235" s="69"/>
      <c r="C235" s="3" t="s">
        <v>164</v>
      </c>
      <c r="D235" s="69"/>
      <c r="E235" s="69"/>
      <c r="F235" s="69">
        <v>30.944849999999999</v>
      </c>
      <c r="G235" s="69">
        <v>30.7454</v>
      </c>
      <c r="H235" s="69">
        <v>111.6503</v>
      </c>
      <c r="I235" s="69">
        <v>774.44399999999996</v>
      </c>
      <c r="J235" s="69">
        <v>578.322</v>
      </c>
      <c r="K235" s="69">
        <v>78.557000000000002</v>
      </c>
      <c r="L235" s="69">
        <v>87.147000000000006</v>
      </c>
      <c r="M235" s="69">
        <v>221.18950000000001</v>
      </c>
      <c r="N235" s="69">
        <v>10.61295</v>
      </c>
      <c r="O235" s="69">
        <v>6.0689299999999999</v>
      </c>
      <c r="P235" s="69">
        <v>6.3124349999999998</v>
      </c>
      <c r="Q235" s="69">
        <v>6.2156500000000001</v>
      </c>
      <c r="R235" s="70">
        <v>12.089169999999999</v>
      </c>
      <c r="S235" s="69">
        <v>24.803999999999998</v>
      </c>
      <c r="T235" s="69"/>
      <c r="U235" s="96">
        <v>23.9</v>
      </c>
      <c r="V235" s="96">
        <v>23.9</v>
      </c>
    </row>
    <row r="236" spans="1:22" x14ac:dyDescent="0.2">
      <c r="A236" s="26"/>
      <c r="B236" s="69"/>
      <c r="C236" s="196" t="s">
        <v>64</v>
      </c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70"/>
      <c r="S236" s="69"/>
      <c r="T236" s="69"/>
      <c r="U236" s="96"/>
      <c r="V236" s="84"/>
    </row>
    <row r="237" spans="1:22" x14ac:dyDescent="0.2">
      <c r="A237" s="26"/>
      <c r="B237" s="69"/>
      <c r="C237" s="196" t="s">
        <v>163</v>
      </c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70"/>
      <c r="S237" s="69"/>
      <c r="T237" s="69"/>
      <c r="U237" s="96"/>
      <c r="V237" s="84"/>
    </row>
    <row r="238" spans="1:22" x14ac:dyDescent="0.2">
      <c r="A238" s="26"/>
      <c r="B238" s="3" t="s">
        <v>115</v>
      </c>
      <c r="C238" s="145" t="s">
        <v>116</v>
      </c>
      <c r="D238" s="313" t="s">
        <v>117</v>
      </c>
      <c r="E238" s="314"/>
      <c r="F238" s="131"/>
      <c r="G238" s="131"/>
      <c r="H238" s="131"/>
      <c r="I238" s="131"/>
      <c r="J238" s="132"/>
      <c r="K238" s="131"/>
      <c r="L238" s="131"/>
      <c r="M238" s="132"/>
      <c r="N238" s="131"/>
      <c r="O238" s="131"/>
      <c r="P238" s="131"/>
      <c r="Q238" s="131"/>
      <c r="R238" s="131"/>
      <c r="S238" s="131"/>
      <c r="T238" s="69"/>
      <c r="U238" s="96"/>
      <c r="V238" s="84"/>
    </row>
    <row r="239" spans="1:22" x14ac:dyDescent="0.2">
      <c r="B239" s="57"/>
      <c r="C239" s="181" t="s">
        <v>44</v>
      </c>
      <c r="D239" s="178">
        <v>153.6</v>
      </c>
      <c r="E239" s="178">
        <v>108.8</v>
      </c>
      <c r="F239" s="157">
        <v>25.4</v>
      </c>
      <c r="G239" s="157">
        <v>21.9</v>
      </c>
      <c r="H239" s="157">
        <v>0</v>
      </c>
      <c r="I239" s="157">
        <v>299.2</v>
      </c>
      <c r="J239" s="175">
        <v>326</v>
      </c>
      <c r="K239" s="157">
        <v>27.2</v>
      </c>
      <c r="L239" s="157">
        <v>43.5</v>
      </c>
      <c r="M239" s="158">
        <v>405</v>
      </c>
      <c r="N239" s="157">
        <v>4.0999999999999996</v>
      </c>
      <c r="O239" s="157">
        <v>0.09</v>
      </c>
      <c r="P239" s="157">
        <v>0.09</v>
      </c>
      <c r="Q239" s="157">
        <v>0.19</v>
      </c>
      <c r="R239" s="157">
        <v>4.9000000000000004</v>
      </c>
      <c r="S239" s="157">
        <v>0</v>
      </c>
      <c r="T239" s="69"/>
      <c r="U239" s="157">
        <v>0</v>
      </c>
      <c r="V239" s="157">
        <v>0</v>
      </c>
    </row>
    <row r="240" spans="1:22" x14ac:dyDescent="0.2">
      <c r="B240" s="57"/>
      <c r="C240" s="182" t="s">
        <v>34</v>
      </c>
      <c r="D240" s="178">
        <v>8</v>
      </c>
      <c r="E240" s="178">
        <v>8</v>
      </c>
      <c r="F240" s="157">
        <v>0</v>
      </c>
      <c r="G240" s="157">
        <v>12</v>
      </c>
      <c r="H240" s="157">
        <v>0</v>
      </c>
      <c r="I240" s="157">
        <v>108</v>
      </c>
      <c r="J240" s="175">
        <v>0</v>
      </c>
      <c r="K240" s="157">
        <v>0</v>
      </c>
      <c r="L240" s="157">
        <v>0</v>
      </c>
      <c r="M240" s="158">
        <v>0</v>
      </c>
      <c r="N240" s="157">
        <v>0</v>
      </c>
      <c r="O240" s="157">
        <v>0</v>
      </c>
      <c r="P240" s="157">
        <v>0</v>
      </c>
      <c r="Q240" s="157">
        <v>0</v>
      </c>
      <c r="R240" s="157">
        <v>0</v>
      </c>
      <c r="S240" s="157">
        <v>0</v>
      </c>
      <c r="T240" s="69"/>
      <c r="U240" s="157">
        <v>0</v>
      </c>
      <c r="V240" s="157">
        <v>0</v>
      </c>
    </row>
    <row r="241" spans="2:22" x14ac:dyDescent="0.2">
      <c r="B241" s="57"/>
      <c r="C241" s="181" t="s">
        <v>31</v>
      </c>
      <c r="D241" s="178">
        <v>128.4</v>
      </c>
      <c r="E241" s="178">
        <v>96</v>
      </c>
      <c r="F241" s="157">
        <v>3.2</v>
      </c>
      <c r="G241" s="157">
        <v>0.6</v>
      </c>
      <c r="H241" s="157">
        <v>26.2</v>
      </c>
      <c r="I241" s="157">
        <v>123.2</v>
      </c>
      <c r="J241" s="175">
        <v>909</v>
      </c>
      <c r="K241" s="157">
        <v>16</v>
      </c>
      <c r="L241" s="157">
        <v>36.799999999999997</v>
      </c>
      <c r="M241" s="158">
        <v>92.8</v>
      </c>
      <c r="N241" s="157">
        <v>1.44</v>
      </c>
      <c r="O241" s="157">
        <v>0.03</v>
      </c>
      <c r="P241" s="157">
        <v>0.19</v>
      </c>
      <c r="Q241" s="157">
        <v>0.08</v>
      </c>
      <c r="R241" s="157">
        <v>1.44</v>
      </c>
      <c r="S241" s="157">
        <v>32</v>
      </c>
      <c r="T241" s="69"/>
      <c r="U241" s="157">
        <v>32</v>
      </c>
      <c r="V241" s="157">
        <v>32</v>
      </c>
    </row>
    <row r="242" spans="2:22" x14ac:dyDescent="0.2">
      <c r="B242" s="57"/>
      <c r="C242" s="181" t="s">
        <v>32</v>
      </c>
      <c r="D242" s="178">
        <v>25</v>
      </c>
      <c r="E242" s="178">
        <v>20.399999999999999</v>
      </c>
      <c r="F242" s="157">
        <v>0.4</v>
      </c>
      <c r="G242" s="157">
        <v>0</v>
      </c>
      <c r="H242" s="157">
        <v>2.2999999999999998</v>
      </c>
      <c r="I242" s="157">
        <v>11.9</v>
      </c>
      <c r="J242" s="175">
        <v>68</v>
      </c>
      <c r="K242" s="157">
        <v>17.3</v>
      </c>
      <c r="L242" s="157">
        <v>13</v>
      </c>
      <c r="M242" s="158">
        <v>18.7</v>
      </c>
      <c r="N242" s="157">
        <v>0.4</v>
      </c>
      <c r="O242" s="157">
        <v>3.1</v>
      </c>
      <c r="P242" s="157">
        <v>0.02</v>
      </c>
      <c r="Q242" s="157">
        <v>0.02</v>
      </c>
      <c r="R242" s="157">
        <v>0.34</v>
      </c>
      <c r="S242" s="157">
        <v>1.7</v>
      </c>
      <c r="T242" s="69"/>
      <c r="U242" s="157">
        <v>1.7</v>
      </c>
      <c r="V242" s="157">
        <v>1.7</v>
      </c>
    </row>
    <row r="243" spans="2:22" x14ac:dyDescent="0.2">
      <c r="B243" s="57"/>
      <c r="C243" s="181" t="s">
        <v>36</v>
      </c>
      <c r="D243" s="178">
        <v>3</v>
      </c>
      <c r="E243" s="178">
        <v>3</v>
      </c>
      <c r="F243" s="157">
        <v>0.2</v>
      </c>
      <c r="G243" s="157">
        <v>0</v>
      </c>
      <c r="H243" s="157">
        <v>1</v>
      </c>
      <c r="I243" s="157">
        <v>5.0999999999999996</v>
      </c>
      <c r="J243" s="175">
        <v>42</v>
      </c>
      <c r="K243" s="157">
        <v>3.7</v>
      </c>
      <c r="L243" s="157">
        <v>1.4</v>
      </c>
      <c r="M243" s="158">
        <v>3.3</v>
      </c>
      <c r="N243" s="157">
        <v>0.1</v>
      </c>
      <c r="O243" s="157">
        <v>0.1</v>
      </c>
      <c r="P243" s="157">
        <v>0</v>
      </c>
      <c r="Q243" s="157">
        <v>0</v>
      </c>
      <c r="R243" s="157">
        <v>0.04</v>
      </c>
      <c r="S243" s="157">
        <v>2.16</v>
      </c>
      <c r="T243" s="69"/>
      <c r="U243" s="157">
        <v>2.16</v>
      </c>
      <c r="V243" s="157">
        <v>2.16</v>
      </c>
    </row>
    <row r="244" spans="2:22" x14ac:dyDescent="0.2">
      <c r="B244" s="144"/>
      <c r="C244" s="181" t="s">
        <v>33</v>
      </c>
      <c r="D244" s="178">
        <v>14.4</v>
      </c>
      <c r="E244" s="178">
        <v>12</v>
      </c>
      <c r="F244" s="157">
        <v>0.3</v>
      </c>
      <c r="G244" s="157">
        <v>0</v>
      </c>
      <c r="H244" s="157">
        <v>1.6</v>
      </c>
      <c r="I244" s="157">
        <v>8.1999999999999993</v>
      </c>
      <c r="J244" s="175">
        <v>35</v>
      </c>
      <c r="K244" s="157">
        <v>6.2</v>
      </c>
      <c r="L244" s="157">
        <v>2.8</v>
      </c>
      <c r="M244" s="158">
        <v>11.6</v>
      </c>
      <c r="N244" s="157">
        <v>0.16</v>
      </c>
      <c r="O244" s="157">
        <v>0</v>
      </c>
      <c r="P244" s="157">
        <v>0.01</v>
      </c>
      <c r="Q244" s="157">
        <v>0.01</v>
      </c>
      <c r="R244" s="157">
        <v>0.04</v>
      </c>
      <c r="S244" s="157">
        <v>2</v>
      </c>
      <c r="T244" s="69"/>
      <c r="U244" s="157">
        <v>2</v>
      </c>
      <c r="V244" s="157">
        <v>2</v>
      </c>
    </row>
    <row r="245" spans="2:22" x14ac:dyDescent="0.2">
      <c r="B245" s="57"/>
      <c r="C245" s="181" t="s">
        <v>38</v>
      </c>
      <c r="D245" s="178">
        <v>1</v>
      </c>
      <c r="E245" s="178">
        <v>1</v>
      </c>
      <c r="F245" s="157">
        <v>0.2</v>
      </c>
      <c r="G245" s="157">
        <v>0</v>
      </c>
      <c r="H245" s="157">
        <v>1.4</v>
      </c>
      <c r="I245" s="157">
        <v>6.7</v>
      </c>
      <c r="J245" s="175">
        <v>4</v>
      </c>
      <c r="K245" s="157">
        <v>0.5</v>
      </c>
      <c r="L245" s="157">
        <v>0.9</v>
      </c>
      <c r="M245" s="158">
        <v>2.2999999999999998</v>
      </c>
      <c r="N245" s="157">
        <v>0.04</v>
      </c>
      <c r="O245" s="157">
        <v>0</v>
      </c>
      <c r="P245" s="157">
        <v>0</v>
      </c>
      <c r="Q245" s="157">
        <v>0</v>
      </c>
      <c r="R245" s="157">
        <v>0.02</v>
      </c>
      <c r="S245" s="157">
        <v>0</v>
      </c>
      <c r="T245" s="69"/>
      <c r="U245" s="157">
        <v>0</v>
      </c>
      <c r="V245" s="157">
        <v>0</v>
      </c>
    </row>
    <row r="246" spans="2:22" x14ac:dyDescent="0.2">
      <c r="B246" s="57"/>
      <c r="C246" s="181" t="s">
        <v>46</v>
      </c>
      <c r="D246" s="178">
        <v>2</v>
      </c>
      <c r="E246" s="178">
        <v>2</v>
      </c>
      <c r="F246" s="157">
        <v>0</v>
      </c>
      <c r="G246" s="157">
        <v>0</v>
      </c>
      <c r="H246" s="157">
        <v>0</v>
      </c>
      <c r="I246" s="157">
        <v>0</v>
      </c>
      <c r="J246" s="157">
        <v>0</v>
      </c>
      <c r="K246" s="157">
        <v>0</v>
      </c>
      <c r="L246" s="157">
        <v>0</v>
      </c>
      <c r="M246" s="157">
        <v>0</v>
      </c>
      <c r="N246" s="157">
        <v>0</v>
      </c>
      <c r="O246" s="157">
        <v>0</v>
      </c>
      <c r="P246" s="157">
        <v>0</v>
      </c>
      <c r="Q246" s="157">
        <v>0</v>
      </c>
      <c r="R246" s="157">
        <v>0</v>
      </c>
      <c r="S246" s="157">
        <v>0</v>
      </c>
      <c r="T246" s="69"/>
      <c r="U246" s="157">
        <v>0</v>
      </c>
      <c r="V246" s="157">
        <v>0</v>
      </c>
    </row>
    <row r="247" spans="2:22" x14ac:dyDescent="0.2">
      <c r="B247" s="57"/>
      <c r="C247" s="18" t="s">
        <v>47</v>
      </c>
      <c r="D247" s="138"/>
      <c r="E247" s="138"/>
      <c r="F247" s="138">
        <v>29.7</v>
      </c>
      <c r="G247" s="138">
        <v>34.5</v>
      </c>
      <c r="H247" s="138">
        <v>32.5</v>
      </c>
      <c r="I247" s="138">
        <v>562.29999999999995</v>
      </c>
      <c r="J247" s="138">
        <v>1384</v>
      </c>
      <c r="K247" s="138">
        <v>70.900000000000006</v>
      </c>
      <c r="L247" s="138">
        <v>98.4</v>
      </c>
      <c r="M247" s="138">
        <v>533.70000000000005</v>
      </c>
      <c r="N247" s="138">
        <v>6.24</v>
      </c>
      <c r="O247" s="138">
        <v>3.32</v>
      </c>
      <c r="P247" s="138">
        <v>0.31</v>
      </c>
      <c r="Q247" s="138">
        <v>0.3</v>
      </c>
      <c r="R247" s="138">
        <v>6.78</v>
      </c>
      <c r="S247" s="138">
        <v>37.86</v>
      </c>
      <c r="T247" s="69"/>
      <c r="U247" s="138">
        <v>37.86</v>
      </c>
      <c r="V247" s="138">
        <v>37.86</v>
      </c>
    </row>
    <row r="248" spans="2:22" x14ac:dyDescent="0.2">
      <c r="B248" s="69" t="s">
        <v>73</v>
      </c>
      <c r="C248" s="19" t="s">
        <v>74</v>
      </c>
      <c r="D248" s="313" t="s">
        <v>75</v>
      </c>
      <c r="E248" s="316"/>
      <c r="F248" s="131"/>
      <c r="G248" s="131"/>
      <c r="H248" s="131"/>
      <c r="I248" s="131"/>
      <c r="J248" s="133"/>
      <c r="K248" s="131"/>
      <c r="L248" s="131"/>
      <c r="M248" s="133"/>
      <c r="N248" s="131"/>
      <c r="O248" s="131"/>
      <c r="P248" s="131"/>
      <c r="Q248" s="131"/>
      <c r="R248" s="134"/>
      <c r="S248" s="4"/>
      <c r="T248" s="168"/>
      <c r="U248" s="84"/>
      <c r="V248" s="21"/>
    </row>
    <row r="249" spans="2:22" x14ac:dyDescent="0.2">
      <c r="B249" s="144"/>
      <c r="C249" s="155" t="s">
        <v>40</v>
      </c>
      <c r="D249" s="178">
        <v>50</v>
      </c>
      <c r="E249" s="178">
        <v>50</v>
      </c>
      <c r="F249" s="157">
        <v>0.1</v>
      </c>
      <c r="G249" s="157">
        <v>0</v>
      </c>
      <c r="H249" s="157">
        <v>0</v>
      </c>
      <c r="I249" s="157">
        <v>0.8</v>
      </c>
      <c r="J249" s="158">
        <v>12.4</v>
      </c>
      <c r="K249" s="157">
        <v>2.5</v>
      </c>
      <c r="L249" s="157">
        <v>2.2000000000000002</v>
      </c>
      <c r="M249" s="158">
        <v>4.0999999999999996</v>
      </c>
      <c r="N249" s="157">
        <v>0.4</v>
      </c>
      <c r="O249" s="157">
        <v>0</v>
      </c>
      <c r="P249" s="157">
        <v>0</v>
      </c>
      <c r="Q249" s="157">
        <v>0</v>
      </c>
      <c r="R249" s="179">
        <v>0</v>
      </c>
      <c r="S249" s="144">
        <v>0</v>
      </c>
      <c r="T249" s="176">
        <v>539.16999999999996</v>
      </c>
      <c r="U249" s="157">
        <v>0.53900000000000003</v>
      </c>
      <c r="V249" s="157">
        <v>0.53900000000000003</v>
      </c>
    </row>
    <row r="250" spans="2:22" x14ac:dyDescent="0.2">
      <c r="B250" s="144"/>
      <c r="C250" s="155" t="s">
        <v>30</v>
      </c>
      <c r="D250" s="178">
        <v>15</v>
      </c>
      <c r="E250" s="178">
        <v>15</v>
      </c>
      <c r="F250" s="157">
        <v>0</v>
      </c>
      <c r="G250" s="157">
        <v>0</v>
      </c>
      <c r="H250" s="157">
        <v>15</v>
      </c>
      <c r="I250" s="157">
        <v>56.9</v>
      </c>
      <c r="J250" s="158">
        <v>0.5</v>
      </c>
      <c r="K250" s="157">
        <v>0.4</v>
      </c>
      <c r="L250" s="157">
        <v>0</v>
      </c>
      <c r="M250" s="158">
        <v>0</v>
      </c>
      <c r="N250" s="157">
        <v>0</v>
      </c>
      <c r="O250" s="157">
        <v>0</v>
      </c>
      <c r="P250" s="157">
        <v>0</v>
      </c>
      <c r="Q250" s="157">
        <v>0</v>
      </c>
      <c r="R250" s="179">
        <v>0</v>
      </c>
      <c r="S250" s="144">
        <v>0</v>
      </c>
      <c r="T250" s="176">
        <v>50.97</v>
      </c>
      <c r="U250" s="157">
        <v>0.76500000000000001</v>
      </c>
      <c r="V250" s="157">
        <v>0.76500000000000001</v>
      </c>
    </row>
    <row r="251" spans="2:22" x14ac:dyDescent="0.2">
      <c r="B251" s="144"/>
      <c r="C251" s="155" t="s">
        <v>35</v>
      </c>
      <c r="D251" s="178">
        <v>150</v>
      </c>
      <c r="E251" s="178">
        <v>150</v>
      </c>
      <c r="F251" s="157">
        <v>0</v>
      </c>
      <c r="G251" s="157">
        <v>0</v>
      </c>
      <c r="H251" s="157">
        <v>0</v>
      </c>
      <c r="I251" s="157">
        <v>0</v>
      </c>
      <c r="J251" s="157">
        <v>0</v>
      </c>
      <c r="K251" s="157">
        <v>0</v>
      </c>
      <c r="L251" s="157">
        <v>0</v>
      </c>
      <c r="M251" s="157">
        <v>0</v>
      </c>
      <c r="N251" s="157">
        <v>0</v>
      </c>
      <c r="O251" s="157">
        <v>0</v>
      </c>
      <c r="P251" s="157">
        <v>0</v>
      </c>
      <c r="Q251" s="157">
        <v>0</v>
      </c>
      <c r="R251" s="179">
        <v>0</v>
      </c>
      <c r="S251" s="144">
        <v>0</v>
      </c>
      <c r="T251" s="176">
        <v>0</v>
      </c>
      <c r="U251" s="157">
        <v>0</v>
      </c>
      <c r="V251" s="157">
        <v>0</v>
      </c>
    </row>
    <row r="252" spans="2:22" x14ac:dyDescent="0.2">
      <c r="B252" s="144"/>
      <c r="C252" s="163" t="s">
        <v>47</v>
      </c>
      <c r="D252" s="138"/>
      <c r="E252" s="138"/>
      <c r="F252" s="138">
        <v>0.1</v>
      </c>
      <c r="G252" s="138">
        <v>0</v>
      </c>
      <c r="H252" s="138">
        <v>15</v>
      </c>
      <c r="I252" s="138">
        <v>57.7</v>
      </c>
      <c r="J252" s="138">
        <v>12.9</v>
      </c>
      <c r="K252" s="138">
        <v>2.9</v>
      </c>
      <c r="L252" s="138">
        <v>2.2000000000000002</v>
      </c>
      <c r="M252" s="138">
        <v>4.12</v>
      </c>
      <c r="N252" s="138">
        <v>0.4</v>
      </c>
      <c r="O252" s="138">
        <v>0</v>
      </c>
      <c r="P252" s="138">
        <v>0</v>
      </c>
      <c r="Q252" s="138">
        <v>0</v>
      </c>
      <c r="R252" s="149">
        <v>0</v>
      </c>
      <c r="S252" s="57">
        <v>0</v>
      </c>
      <c r="T252" s="139"/>
      <c r="U252" s="138">
        <v>1.304</v>
      </c>
      <c r="V252" s="138">
        <v>1.304</v>
      </c>
    </row>
    <row r="253" spans="2:22" ht="25.5" x14ac:dyDescent="0.2">
      <c r="B253" s="31" t="s">
        <v>24</v>
      </c>
      <c r="C253" s="28" t="s">
        <v>105</v>
      </c>
      <c r="D253" s="31">
        <v>30</v>
      </c>
      <c r="E253" s="29">
        <v>30</v>
      </c>
      <c r="F253" s="29">
        <v>1.54</v>
      </c>
      <c r="G253" s="29">
        <v>0.6</v>
      </c>
      <c r="H253" s="59">
        <v>9.9600000000000009</v>
      </c>
      <c r="I253" s="29">
        <v>52.4</v>
      </c>
      <c r="J253" s="59">
        <v>25.4</v>
      </c>
      <c r="K253" s="49">
        <v>5.2</v>
      </c>
      <c r="L253" s="29">
        <v>7</v>
      </c>
      <c r="M253" s="29">
        <v>16.600000000000001</v>
      </c>
      <c r="N253" s="29">
        <v>0.32</v>
      </c>
      <c r="O253" s="29">
        <v>0</v>
      </c>
      <c r="P253" s="29">
        <v>3.2000000000000001E-2</v>
      </c>
      <c r="Q253" s="29">
        <v>1.6E-2</v>
      </c>
      <c r="R253" s="29">
        <v>0.308</v>
      </c>
      <c r="S253" s="29">
        <v>0</v>
      </c>
      <c r="T253" s="69">
        <v>29.29</v>
      </c>
      <c r="U253" s="96">
        <v>0.58584000000000003</v>
      </c>
      <c r="V253" s="96">
        <v>0.58584000000000003</v>
      </c>
    </row>
    <row r="254" spans="2:22" x14ac:dyDescent="0.2">
      <c r="B254" s="31"/>
      <c r="C254" s="3" t="s">
        <v>164</v>
      </c>
      <c r="D254" s="31"/>
      <c r="E254" s="31"/>
      <c r="F254" s="31">
        <v>33.542149999999999</v>
      </c>
      <c r="G254" s="31">
        <v>30.952400000000001</v>
      </c>
      <c r="H254" s="31">
        <v>90.170900000000003</v>
      </c>
      <c r="I254" s="31">
        <v>790.57799999999997</v>
      </c>
      <c r="J254" s="31">
        <v>654.61</v>
      </c>
      <c r="K254" s="31">
        <v>58.325000000000003</v>
      </c>
      <c r="L254" s="31">
        <v>63.677999999999997</v>
      </c>
      <c r="M254" s="31">
        <v>251.84049999999999</v>
      </c>
      <c r="N254" s="31">
        <v>7.0629499999999998</v>
      </c>
      <c r="O254" s="31">
        <v>9.0690000000000007E-2</v>
      </c>
      <c r="P254" s="31">
        <v>0.44761499999999999</v>
      </c>
      <c r="Q254" s="31">
        <v>0.30335000000000001</v>
      </c>
      <c r="R254" s="31">
        <v>9.1470500000000001</v>
      </c>
      <c r="S254" s="31">
        <v>30.981999999999999</v>
      </c>
      <c r="T254" s="69"/>
      <c r="U254" s="32">
        <v>36.369999999999997</v>
      </c>
      <c r="V254" s="32">
        <v>36.369999999999997</v>
      </c>
    </row>
    <row r="255" spans="2:22" x14ac:dyDescent="0.2">
      <c r="B255" s="169"/>
      <c r="C255" s="3" t="s">
        <v>164</v>
      </c>
      <c r="D255" s="21"/>
      <c r="E255" s="21"/>
      <c r="F255" s="21">
        <v>21.952000000000002</v>
      </c>
      <c r="G255" s="21">
        <v>26.751999999999999</v>
      </c>
      <c r="H255" s="21">
        <v>85.869</v>
      </c>
      <c r="I255" s="21">
        <v>668.91</v>
      </c>
      <c r="J255" s="21">
        <v>378.92899999999997</v>
      </c>
      <c r="K255" s="21">
        <v>39.966000000000001</v>
      </c>
      <c r="L255" s="21">
        <v>44.588999999999999</v>
      </c>
      <c r="M255" s="21">
        <v>211.56</v>
      </c>
      <c r="N255" s="21">
        <v>3.5409999999999999</v>
      </c>
      <c r="O255" s="21">
        <v>0.03</v>
      </c>
      <c r="P255" s="21">
        <v>0.32800000000000001</v>
      </c>
      <c r="Q255" s="21">
        <v>0.26400000000000001</v>
      </c>
      <c r="R255" s="21">
        <v>3.827</v>
      </c>
      <c r="S255" s="21">
        <v>3.6</v>
      </c>
      <c r="T255" s="147"/>
      <c r="U255" s="52"/>
      <c r="V255" s="52">
        <v>27.15</v>
      </c>
    </row>
    <row r="256" spans="2:22" x14ac:dyDescent="0.2">
      <c r="B256" s="69"/>
      <c r="C256" s="148" t="s">
        <v>65</v>
      </c>
      <c r="D256" s="138"/>
      <c r="E256" s="138"/>
      <c r="F256" s="140">
        <v>230.4</v>
      </c>
      <c r="G256" s="140">
        <v>216.5</v>
      </c>
      <c r="H256" s="140">
        <v>706.6</v>
      </c>
      <c r="I256" s="140">
        <v>5722.6</v>
      </c>
      <c r="J256" s="140">
        <v>6476.8</v>
      </c>
      <c r="K256" s="140">
        <v>789</v>
      </c>
      <c r="L256" s="140">
        <v>649</v>
      </c>
      <c r="M256" s="140">
        <v>2739.1</v>
      </c>
      <c r="N256" s="140">
        <v>34.299999999999997</v>
      </c>
      <c r="O256" s="140">
        <v>3.4</v>
      </c>
      <c r="P256" s="140">
        <v>1.6</v>
      </c>
      <c r="Q256" s="140">
        <v>2</v>
      </c>
      <c r="R256" s="140">
        <v>40.4</v>
      </c>
      <c r="S256" s="140">
        <v>197.6</v>
      </c>
      <c r="T256" s="139"/>
      <c r="U256" s="140"/>
      <c r="V256" s="140">
        <v>298.2</v>
      </c>
    </row>
    <row r="257" spans="2:22" x14ac:dyDescent="0.2">
      <c r="B257" s="69"/>
      <c r="C257" s="148" t="s">
        <v>66</v>
      </c>
      <c r="D257" s="138"/>
      <c r="E257" s="138"/>
      <c r="F257" s="138">
        <v>23.042000000000002</v>
      </c>
      <c r="G257" s="138">
        <v>21.65</v>
      </c>
      <c r="H257" s="138">
        <v>70.66</v>
      </c>
      <c r="I257" s="138">
        <v>572.26</v>
      </c>
      <c r="J257" s="138">
        <v>647.6848</v>
      </c>
      <c r="K257" s="138">
        <v>78.897900000000007</v>
      </c>
      <c r="L257" s="138">
        <v>64.903999999999996</v>
      </c>
      <c r="M257" s="138">
        <v>273.91000000000003</v>
      </c>
      <c r="N257" s="138">
        <v>3.431</v>
      </c>
      <c r="O257" s="138">
        <v>0.34</v>
      </c>
      <c r="P257" s="138">
        <v>0.158</v>
      </c>
      <c r="Q257" s="138">
        <v>0.20399999999999999</v>
      </c>
      <c r="R257" s="149">
        <v>4.04</v>
      </c>
      <c r="S257" s="150">
        <v>19.760000000000002</v>
      </c>
      <c r="T257" s="151"/>
      <c r="U257" s="152"/>
      <c r="V257" s="152">
        <v>29.82</v>
      </c>
    </row>
    <row r="258" spans="2:22" x14ac:dyDescent="0.2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70"/>
      <c r="S258" s="69"/>
      <c r="T258" s="69"/>
      <c r="U258" s="96"/>
      <c r="V258" s="69"/>
    </row>
    <row r="259" spans="2:22" x14ac:dyDescent="0.2">
      <c r="R259" s="54"/>
      <c r="S259" s="54"/>
      <c r="T259" s="54"/>
      <c r="U259" s="97"/>
      <c r="V259" s="54"/>
    </row>
    <row r="260" spans="2:22" ht="12" customHeight="1" x14ac:dyDescent="0.2">
      <c r="R260" s="54"/>
      <c r="S260" s="54"/>
      <c r="T260" s="54"/>
      <c r="U260" s="97"/>
      <c r="V260" s="54"/>
    </row>
    <row r="261" spans="2:22" hidden="1" x14ac:dyDescent="0.2">
      <c r="R261" s="54"/>
      <c r="S261" s="54"/>
      <c r="T261" s="54"/>
      <c r="U261" s="97"/>
      <c r="V261" s="54"/>
    </row>
    <row r="262" spans="2:22" hidden="1" x14ac:dyDescent="0.2">
      <c r="R262" s="54"/>
      <c r="S262" s="54"/>
      <c r="T262" s="54"/>
      <c r="U262" s="97"/>
      <c r="V262" s="54"/>
    </row>
    <row r="263" spans="2:22" hidden="1" x14ac:dyDescent="0.2">
      <c r="R263" s="54"/>
      <c r="S263" s="54"/>
      <c r="T263" s="54"/>
      <c r="U263" s="97"/>
      <c r="V263" s="54"/>
    </row>
    <row r="264" spans="2:22" hidden="1" x14ac:dyDescent="0.2">
      <c r="R264" s="54"/>
      <c r="S264" s="54"/>
      <c r="T264" s="54"/>
      <c r="U264" s="97"/>
      <c r="V264" s="54"/>
    </row>
    <row r="265" spans="2:22" hidden="1" x14ac:dyDescent="0.2">
      <c r="R265" s="54"/>
      <c r="S265" s="54"/>
      <c r="T265" s="54"/>
      <c r="U265" s="97"/>
      <c r="V265" s="54"/>
    </row>
    <row r="266" spans="2:22" hidden="1" x14ac:dyDescent="0.2">
      <c r="R266" s="54"/>
      <c r="S266" s="54"/>
      <c r="T266" s="54"/>
      <c r="U266" s="97"/>
      <c r="V266" s="54"/>
    </row>
    <row r="267" spans="2:22" hidden="1" x14ac:dyDescent="0.2">
      <c r="R267" s="54"/>
      <c r="S267" s="54"/>
      <c r="T267" s="54"/>
      <c r="U267" s="97"/>
      <c r="V267" s="54"/>
    </row>
    <row r="268" spans="2:22" hidden="1" x14ac:dyDescent="0.2">
      <c r="R268" s="54"/>
      <c r="S268" s="54"/>
      <c r="T268" s="54"/>
      <c r="U268" s="97"/>
      <c r="V268" s="54"/>
    </row>
    <row r="269" spans="2:22" hidden="1" x14ac:dyDescent="0.2">
      <c r="R269" s="54"/>
      <c r="S269" s="54"/>
      <c r="T269" s="54"/>
      <c r="U269" s="97"/>
      <c r="V269" s="54"/>
    </row>
    <row r="270" spans="2:22" hidden="1" x14ac:dyDescent="0.2">
      <c r="R270" s="54"/>
      <c r="S270" s="54"/>
      <c r="T270" s="54"/>
      <c r="U270" s="97"/>
      <c r="V270" s="54"/>
    </row>
    <row r="271" spans="2:22" hidden="1" x14ac:dyDescent="0.2">
      <c r="R271" s="54"/>
      <c r="S271" s="54"/>
      <c r="T271" s="54"/>
      <c r="U271" s="97"/>
      <c r="V271" s="54"/>
    </row>
    <row r="272" spans="2:22" hidden="1" x14ac:dyDescent="0.2">
      <c r="R272" s="54"/>
      <c r="S272" s="54"/>
      <c r="T272" s="54"/>
      <c r="U272" s="97"/>
      <c r="V272" s="54"/>
    </row>
    <row r="273" spans="2:22" hidden="1" x14ac:dyDescent="0.2">
      <c r="R273" s="54"/>
      <c r="S273" s="54"/>
      <c r="T273" s="54"/>
      <c r="U273" s="97"/>
      <c r="V273" s="54"/>
    </row>
    <row r="274" spans="2:22" hidden="1" x14ac:dyDescent="0.2">
      <c r="R274" s="54"/>
      <c r="S274" s="54"/>
      <c r="T274" s="54"/>
      <c r="U274" s="97"/>
      <c r="V274" s="54"/>
    </row>
    <row r="275" spans="2:22" hidden="1" x14ac:dyDescent="0.2">
      <c r="R275" s="54"/>
      <c r="S275" s="54"/>
      <c r="T275" s="54"/>
      <c r="U275" s="97"/>
      <c r="V275" s="54"/>
    </row>
    <row r="276" spans="2:22" hidden="1" x14ac:dyDescent="0.2">
      <c r="R276" s="54"/>
      <c r="S276" s="54"/>
      <c r="T276" s="54"/>
      <c r="U276" s="97"/>
      <c r="V276" s="54"/>
    </row>
    <row r="277" spans="2:22" hidden="1" x14ac:dyDescent="0.2">
      <c r="R277" s="54"/>
      <c r="S277" s="54"/>
      <c r="T277" s="54"/>
      <c r="U277" s="97"/>
      <c r="V277" s="54"/>
    </row>
    <row r="278" spans="2:22" hidden="1" x14ac:dyDescent="0.2">
      <c r="R278" s="54"/>
      <c r="S278" s="54"/>
      <c r="T278" s="54"/>
      <c r="U278" s="97"/>
      <c r="V278" s="54"/>
    </row>
    <row r="279" spans="2:22" hidden="1" x14ac:dyDescent="0.2">
      <c r="B279" s="127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97"/>
      <c r="V279" s="54"/>
    </row>
    <row r="280" spans="2:22" hidden="1" x14ac:dyDescent="0.2">
      <c r="B280" s="127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97"/>
      <c r="V280" s="54"/>
    </row>
    <row r="281" spans="2:22" hidden="1" x14ac:dyDescent="0.2">
      <c r="B281" s="127"/>
      <c r="C281" s="99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77"/>
      <c r="U281" s="101"/>
      <c r="V281" s="54"/>
    </row>
    <row r="282" spans="2:22" hidden="1" x14ac:dyDescent="0.2">
      <c r="B282" s="127"/>
      <c r="C282" s="99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77"/>
      <c r="U282" s="101"/>
      <c r="V282" s="54"/>
    </row>
    <row r="283" spans="2:22" hidden="1" x14ac:dyDescent="0.2">
      <c r="B283" s="127"/>
      <c r="C283" s="99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77"/>
      <c r="U283" s="101"/>
      <c r="V283" s="54"/>
    </row>
    <row r="284" spans="2:22" hidden="1" x14ac:dyDescent="0.2">
      <c r="B284" s="127"/>
      <c r="C284" s="102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101"/>
      <c r="V284" s="77"/>
    </row>
    <row r="285" spans="2:22" hidden="1" x14ac:dyDescent="0.2">
      <c r="B285" s="127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97"/>
      <c r="V285" s="54"/>
    </row>
    <row r="286" spans="2:22" hidden="1" x14ac:dyDescent="0.2">
      <c r="B286" s="127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97"/>
      <c r="V286" s="54"/>
    </row>
    <row r="287" spans="2:22" hidden="1" x14ac:dyDescent="0.2">
      <c r="B287" s="127"/>
      <c r="C287" s="103"/>
      <c r="D287" s="54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100"/>
      <c r="U287" s="97"/>
      <c r="V287" s="54"/>
    </row>
    <row r="288" spans="2:22" x14ac:dyDescent="0.2">
      <c r="B288" s="127"/>
      <c r="C288" s="105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100"/>
      <c r="U288" s="97"/>
      <c r="V288" s="54"/>
    </row>
    <row r="289" spans="2:22" x14ac:dyDescent="0.2">
      <c r="B289" s="127"/>
      <c r="C289" s="105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100"/>
      <c r="U289" s="97"/>
      <c r="V289" s="54"/>
    </row>
    <row r="290" spans="2:22" x14ac:dyDescent="0.2">
      <c r="B290" s="127"/>
      <c r="C290" s="105"/>
      <c r="D290" s="54"/>
      <c r="E290" s="54"/>
      <c r="F290" s="54"/>
      <c r="G290" s="54"/>
      <c r="H290" s="54"/>
      <c r="I290" s="54"/>
      <c r="J290" s="106"/>
      <c r="K290" s="100"/>
      <c r="L290" s="100"/>
      <c r="M290" s="107"/>
      <c r="N290" s="100"/>
      <c r="O290" s="100"/>
      <c r="P290" s="100"/>
      <c r="Q290" s="100"/>
      <c r="R290" s="100"/>
      <c r="S290" s="100"/>
      <c r="T290" s="100"/>
      <c r="U290" s="97"/>
      <c r="V290" s="54"/>
    </row>
    <row r="291" spans="2:22" x14ac:dyDescent="0.2">
      <c r="B291" s="127"/>
      <c r="C291" s="105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100"/>
      <c r="U291" s="97"/>
      <c r="V291" s="54"/>
    </row>
    <row r="292" spans="2:22" x14ac:dyDescent="0.2">
      <c r="B292" s="127"/>
      <c r="C292" s="105"/>
      <c r="D292" s="54"/>
      <c r="E292" s="54"/>
      <c r="F292" s="54"/>
      <c r="G292" s="54"/>
      <c r="H292" s="54"/>
      <c r="I292" s="54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97"/>
      <c r="V292" s="54"/>
    </row>
    <row r="293" spans="2:22" x14ac:dyDescent="0.2">
      <c r="B293" s="127"/>
      <c r="C293" s="105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100"/>
      <c r="U293" s="97"/>
      <c r="V293" s="54"/>
    </row>
    <row r="294" spans="2:22" x14ac:dyDescent="0.2">
      <c r="B294" s="127"/>
      <c r="C294" s="105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100"/>
      <c r="U294" s="97"/>
      <c r="V294" s="54"/>
    </row>
    <row r="295" spans="2:22" x14ac:dyDescent="0.2">
      <c r="B295" s="127"/>
      <c r="C295" s="105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100"/>
      <c r="U295" s="97"/>
      <c r="V295" s="54"/>
    </row>
    <row r="296" spans="2:22" x14ac:dyDescent="0.2">
      <c r="B296" s="127"/>
      <c r="C296" s="105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100"/>
      <c r="U296" s="97"/>
      <c r="V296" s="54"/>
    </row>
    <row r="297" spans="2:22" x14ac:dyDescent="0.2">
      <c r="B297" s="127"/>
      <c r="C297" s="102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101"/>
      <c r="V297" s="77"/>
    </row>
    <row r="298" spans="2:22" x14ac:dyDescent="0.2">
      <c r="B298" s="127"/>
      <c r="C298" s="102"/>
      <c r="D298" s="100"/>
      <c r="E298" s="77"/>
      <c r="F298" s="77"/>
      <c r="G298" s="77"/>
      <c r="H298" s="108"/>
      <c r="I298" s="77"/>
      <c r="J298" s="109"/>
      <c r="K298" s="108"/>
      <c r="L298" s="77"/>
      <c r="M298" s="77"/>
      <c r="N298" s="77"/>
      <c r="O298" s="77"/>
      <c r="P298" s="77"/>
      <c r="Q298" s="77"/>
      <c r="R298" s="77"/>
      <c r="S298" s="77"/>
      <c r="T298" s="100"/>
      <c r="U298" s="97"/>
      <c r="V298" s="54"/>
    </row>
    <row r="299" spans="2:22" x14ac:dyDescent="0.2">
      <c r="B299" s="127"/>
      <c r="C299" s="99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97"/>
      <c r="V299" s="54"/>
    </row>
    <row r="300" spans="2:22" x14ac:dyDescent="0.2">
      <c r="B300" s="127"/>
      <c r="C300" s="99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77"/>
      <c r="U300" s="101"/>
      <c r="V300" s="54"/>
    </row>
    <row r="301" spans="2:22" x14ac:dyDescent="0.2">
      <c r="B301" s="127"/>
      <c r="C301" s="99"/>
      <c r="D301" s="100"/>
      <c r="E301" s="100"/>
      <c r="F301" s="110"/>
      <c r="G301" s="110"/>
      <c r="H301" s="110"/>
      <c r="I301" s="110"/>
      <c r="J301" s="111"/>
      <c r="K301" s="110"/>
      <c r="L301" s="110"/>
      <c r="M301" s="110"/>
      <c r="N301" s="110"/>
      <c r="O301" s="110"/>
      <c r="P301" s="110"/>
      <c r="Q301" s="110"/>
      <c r="R301" s="110"/>
      <c r="S301" s="110"/>
      <c r="T301" s="77"/>
      <c r="U301" s="101"/>
      <c r="V301" s="54"/>
    </row>
    <row r="302" spans="2:22" x14ac:dyDescent="0.2">
      <c r="B302" s="127"/>
      <c r="C302" s="99"/>
      <c r="D302" s="100"/>
      <c r="E302" s="100"/>
      <c r="F302" s="100"/>
      <c r="G302" s="100"/>
      <c r="H302" s="100"/>
      <c r="I302" s="100"/>
      <c r="J302" s="106"/>
      <c r="K302" s="100"/>
      <c r="L302" s="100"/>
      <c r="M302" s="112"/>
      <c r="N302" s="100"/>
      <c r="O302" s="100"/>
      <c r="P302" s="100"/>
      <c r="Q302" s="100"/>
      <c r="R302" s="100"/>
      <c r="S302" s="100"/>
      <c r="T302" s="100"/>
      <c r="U302" s="101"/>
      <c r="V302" s="54"/>
    </row>
    <row r="303" spans="2:22" x14ac:dyDescent="0.2">
      <c r="B303" s="127"/>
      <c r="C303" s="99"/>
      <c r="D303" s="100"/>
      <c r="E303" s="10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00"/>
      <c r="U303" s="101"/>
      <c r="V303" s="54"/>
    </row>
    <row r="304" spans="2:22" x14ac:dyDescent="0.2">
      <c r="B304" s="127"/>
      <c r="C304" s="99"/>
      <c r="D304" s="100"/>
      <c r="E304" s="100"/>
      <c r="F304" s="100"/>
      <c r="G304" s="100"/>
      <c r="H304" s="107"/>
      <c r="I304" s="100"/>
      <c r="J304" s="106"/>
      <c r="K304" s="107"/>
      <c r="L304" s="100"/>
      <c r="M304" s="100"/>
      <c r="N304" s="100"/>
      <c r="O304" s="100"/>
      <c r="P304" s="100"/>
      <c r="Q304" s="100"/>
      <c r="R304" s="100"/>
      <c r="S304" s="100"/>
      <c r="T304" s="100"/>
      <c r="U304" s="101"/>
      <c r="V304" s="54"/>
    </row>
    <row r="305" spans="2:22" x14ac:dyDescent="0.2">
      <c r="B305" s="127"/>
      <c r="C305" s="102"/>
      <c r="D305" s="199"/>
      <c r="E305" s="199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101"/>
      <c r="V305" s="77"/>
    </row>
    <row r="306" spans="2:22" x14ac:dyDescent="0.2">
      <c r="B306" s="127"/>
      <c r="C306" s="102"/>
      <c r="D306" s="100"/>
      <c r="E306" s="77"/>
      <c r="F306" s="77"/>
      <c r="G306" s="77"/>
      <c r="H306" s="77"/>
      <c r="I306" s="77"/>
      <c r="J306" s="108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101"/>
      <c r="V306" s="77"/>
    </row>
    <row r="307" spans="2:22" x14ac:dyDescent="0.2">
      <c r="B307" s="127"/>
      <c r="C307" s="99"/>
      <c r="D307" s="100"/>
      <c r="E307" s="100"/>
      <c r="F307" s="100"/>
      <c r="G307" s="100"/>
      <c r="H307" s="100"/>
      <c r="I307" s="100"/>
      <c r="J307" s="107"/>
      <c r="K307" s="100"/>
      <c r="L307" s="100"/>
      <c r="M307" s="100"/>
      <c r="N307" s="100"/>
      <c r="O307" s="100"/>
      <c r="P307" s="100"/>
      <c r="Q307" s="100"/>
      <c r="R307" s="100"/>
      <c r="S307" s="100"/>
      <c r="T307" s="77"/>
      <c r="U307" s="101"/>
      <c r="V307" s="54"/>
    </row>
    <row r="308" spans="2:22" x14ac:dyDescent="0.2">
      <c r="B308" s="127"/>
      <c r="C308" s="99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77"/>
      <c r="U308" s="101"/>
      <c r="V308" s="54"/>
    </row>
    <row r="309" spans="2:22" x14ac:dyDescent="0.2">
      <c r="B309" s="127"/>
      <c r="C309" s="99"/>
      <c r="D309" s="100"/>
      <c r="E309" s="100"/>
      <c r="F309" s="100"/>
      <c r="G309" s="100"/>
      <c r="H309" s="100"/>
      <c r="I309" s="100"/>
      <c r="J309" s="114"/>
      <c r="K309" s="100"/>
      <c r="L309" s="100"/>
      <c r="M309" s="100"/>
      <c r="N309" s="100"/>
      <c r="O309" s="100"/>
      <c r="P309" s="100"/>
      <c r="Q309" s="100"/>
      <c r="R309" s="100"/>
      <c r="S309" s="100"/>
      <c r="T309" s="77"/>
      <c r="U309" s="101"/>
      <c r="V309" s="54"/>
    </row>
    <row r="310" spans="2:22" x14ac:dyDescent="0.2">
      <c r="B310" s="127"/>
      <c r="C310" s="102"/>
      <c r="D310" s="199"/>
      <c r="E310" s="199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101"/>
      <c r="V310" s="77"/>
    </row>
    <row r="311" spans="2:22" x14ac:dyDescent="0.2">
      <c r="B311" s="127"/>
      <c r="C311" s="102"/>
      <c r="D311" s="77"/>
      <c r="E311" s="77"/>
      <c r="F311" s="77"/>
      <c r="G311" s="77"/>
      <c r="H311" s="77"/>
      <c r="I311" s="77"/>
      <c r="J311" s="77"/>
      <c r="K311" s="77"/>
      <c r="L311" s="77"/>
      <c r="M311" s="108"/>
      <c r="N311" s="77"/>
      <c r="O311" s="77"/>
      <c r="P311" s="77"/>
      <c r="Q311" s="77"/>
      <c r="R311" s="77"/>
      <c r="S311" s="77"/>
      <c r="T311" s="77"/>
      <c r="U311" s="101"/>
      <c r="V311" s="77"/>
    </row>
    <row r="312" spans="2:22" ht="15.75" x14ac:dyDescent="0.2">
      <c r="B312" s="127"/>
      <c r="C312" s="115"/>
      <c r="D312" s="115"/>
      <c r="E312" s="116"/>
      <c r="F312" s="117"/>
      <c r="G312" s="117"/>
      <c r="H312" s="117"/>
      <c r="I312" s="117"/>
      <c r="J312" s="118"/>
      <c r="K312" s="117"/>
      <c r="L312" s="117"/>
      <c r="M312" s="117"/>
      <c r="N312" s="117"/>
      <c r="O312" s="117"/>
      <c r="P312" s="117"/>
      <c r="Q312" s="117"/>
      <c r="R312" s="117"/>
      <c r="S312" s="117"/>
      <c r="T312" s="77"/>
      <c r="U312" s="101"/>
      <c r="V312" s="54"/>
    </row>
    <row r="313" spans="2:22" ht="15.75" x14ac:dyDescent="0.2">
      <c r="B313" s="127"/>
      <c r="C313" s="119"/>
      <c r="D313" s="116"/>
      <c r="E313" s="116"/>
      <c r="F313" s="100"/>
      <c r="G313" s="100"/>
      <c r="H313" s="100"/>
      <c r="I313" s="100"/>
      <c r="J313" s="107"/>
      <c r="K313" s="100"/>
      <c r="L313" s="100"/>
      <c r="M313" s="107"/>
      <c r="N313" s="100"/>
      <c r="O313" s="100"/>
      <c r="P313" s="100"/>
      <c r="Q313" s="100"/>
      <c r="R313" s="100"/>
      <c r="S313" s="100"/>
      <c r="T313" s="77"/>
      <c r="U313" s="101"/>
      <c r="V313" s="54"/>
    </row>
    <row r="314" spans="2:22" ht="15.75" x14ac:dyDescent="0.2">
      <c r="B314" s="127"/>
      <c r="C314" s="119"/>
      <c r="D314" s="116"/>
      <c r="E314" s="116"/>
      <c r="F314" s="117"/>
      <c r="G314" s="117"/>
      <c r="H314" s="117"/>
      <c r="I314" s="117"/>
      <c r="J314" s="118"/>
      <c r="K314" s="117"/>
      <c r="L314" s="117"/>
      <c r="M314" s="117"/>
      <c r="N314" s="117"/>
      <c r="O314" s="117"/>
      <c r="P314" s="117"/>
      <c r="Q314" s="117"/>
      <c r="R314" s="117"/>
      <c r="S314" s="117"/>
      <c r="T314" s="77"/>
      <c r="U314" s="101"/>
      <c r="V314" s="54"/>
    </row>
  </sheetData>
  <mergeCells count="22">
    <mergeCell ref="B1:V1"/>
    <mergeCell ref="B2:B3"/>
    <mergeCell ref="C2:C3"/>
    <mergeCell ref="D2:D3"/>
    <mergeCell ref="E2:E3"/>
    <mergeCell ref="F2:F3"/>
    <mergeCell ref="G2:G3"/>
    <mergeCell ref="H2:H3"/>
    <mergeCell ref="I2:I3"/>
    <mergeCell ref="J2:N2"/>
    <mergeCell ref="D248:E248"/>
    <mergeCell ref="O2:S2"/>
    <mergeCell ref="T2:T3"/>
    <mergeCell ref="D10:E10"/>
    <mergeCell ref="D37:E37"/>
    <mergeCell ref="D94:E94"/>
    <mergeCell ref="D129:E129"/>
    <mergeCell ref="D177:E177"/>
    <mergeCell ref="D211:E211"/>
    <mergeCell ref="D220:E220"/>
    <mergeCell ref="D229:E229"/>
    <mergeCell ref="D238:E238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77"/>
  <sheetViews>
    <sheetView view="pageBreakPreview" topLeftCell="A31" zoomScaleSheetLayoutView="100" workbookViewId="0">
      <selection activeCell="A55" sqref="A55:T56"/>
    </sheetView>
  </sheetViews>
  <sheetFormatPr defaultRowHeight="12.75" x14ac:dyDescent="0.2"/>
  <cols>
    <col min="1" max="1" width="8.42578125" customWidth="1"/>
    <col min="2" max="2" width="29.28515625" customWidth="1"/>
    <col min="3" max="3" width="7.28515625" customWidth="1"/>
    <col min="4" max="4" width="6.85546875" customWidth="1"/>
    <col min="5" max="5" width="7.140625" customWidth="1"/>
    <col min="6" max="6" width="6.85546875" customWidth="1"/>
    <col min="7" max="7" width="7" customWidth="1"/>
    <col min="8" max="8" width="7.5703125" customWidth="1"/>
    <col min="9" max="9" width="6.7109375" customWidth="1"/>
    <col min="10" max="10" width="8.140625" customWidth="1"/>
    <col min="11" max="11" width="6.7109375" customWidth="1"/>
    <col min="12" max="12" width="6.85546875" customWidth="1"/>
    <col min="13" max="13" width="6.140625" customWidth="1"/>
    <col min="14" max="14" width="5.140625" customWidth="1"/>
    <col min="15" max="15" width="6.28515625" customWidth="1"/>
    <col min="16" max="16" width="6.140625" customWidth="1"/>
    <col min="17" max="19" width="6.28515625" customWidth="1"/>
    <col min="20" max="20" width="6.7109375" customWidth="1"/>
    <col min="256" max="256" width="6.85546875" customWidth="1"/>
    <col min="257" max="257" width="8.42578125" customWidth="1"/>
    <col min="258" max="258" width="29.28515625" customWidth="1"/>
    <col min="259" max="259" width="7.28515625" customWidth="1"/>
    <col min="260" max="260" width="6.85546875" customWidth="1"/>
    <col min="261" max="261" width="7.140625" customWidth="1"/>
    <col min="262" max="262" width="6.85546875" customWidth="1"/>
    <col min="263" max="263" width="7" customWidth="1"/>
    <col min="264" max="264" width="7.5703125" customWidth="1"/>
    <col min="265" max="265" width="6.7109375" customWidth="1"/>
    <col min="266" max="266" width="8.140625" customWidth="1"/>
    <col min="267" max="267" width="6.7109375" customWidth="1"/>
    <col min="268" max="268" width="6.85546875" customWidth="1"/>
    <col min="269" max="269" width="6.140625" customWidth="1"/>
    <col min="270" max="270" width="5.140625" customWidth="1"/>
    <col min="271" max="271" width="6.28515625" customWidth="1"/>
    <col min="272" max="272" width="6.140625" customWidth="1"/>
    <col min="273" max="275" width="6.28515625" customWidth="1"/>
    <col min="276" max="276" width="6.7109375" customWidth="1"/>
    <col min="512" max="512" width="6.85546875" customWidth="1"/>
    <col min="513" max="513" width="8.42578125" customWidth="1"/>
    <col min="514" max="514" width="29.28515625" customWidth="1"/>
    <col min="515" max="515" width="7.28515625" customWidth="1"/>
    <col min="516" max="516" width="6.85546875" customWidth="1"/>
    <col min="517" max="517" width="7.140625" customWidth="1"/>
    <col min="518" max="518" width="6.85546875" customWidth="1"/>
    <col min="519" max="519" width="7" customWidth="1"/>
    <col min="520" max="520" width="7.5703125" customWidth="1"/>
    <col min="521" max="521" width="6.7109375" customWidth="1"/>
    <col min="522" max="522" width="8.140625" customWidth="1"/>
    <col min="523" max="523" width="6.7109375" customWidth="1"/>
    <col min="524" max="524" width="6.85546875" customWidth="1"/>
    <col min="525" max="525" width="6.140625" customWidth="1"/>
    <col min="526" max="526" width="5.140625" customWidth="1"/>
    <col min="527" max="527" width="6.28515625" customWidth="1"/>
    <col min="528" max="528" width="6.140625" customWidth="1"/>
    <col min="529" max="531" width="6.28515625" customWidth="1"/>
    <col min="532" max="532" width="6.7109375" customWidth="1"/>
    <col min="768" max="768" width="6.85546875" customWidth="1"/>
    <col min="769" max="769" width="8.42578125" customWidth="1"/>
    <col min="770" max="770" width="29.28515625" customWidth="1"/>
    <col min="771" max="771" width="7.28515625" customWidth="1"/>
    <col min="772" max="772" width="6.85546875" customWidth="1"/>
    <col min="773" max="773" width="7.140625" customWidth="1"/>
    <col min="774" max="774" width="6.85546875" customWidth="1"/>
    <col min="775" max="775" width="7" customWidth="1"/>
    <col min="776" max="776" width="7.5703125" customWidth="1"/>
    <col min="777" max="777" width="6.7109375" customWidth="1"/>
    <col min="778" max="778" width="8.140625" customWidth="1"/>
    <col min="779" max="779" width="6.7109375" customWidth="1"/>
    <col min="780" max="780" width="6.85546875" customWidth="1"/>
    <col min="781" max="781" width="6.140625" customWidth="1"/>
    <col min="782" max="782" width="5.140625" customWidth="1"/>
    <col min="783" max="783" width="6.28515625" customWidth="1"/>
    <col min="784" max="784" width="6.140625" customWidth="1"/>
    <col min="785" max="787" width="6.28515625" customWidth="1"/>
    <col min="788" max="788" width="6.7109375" customWidth="1"/>
    <col min="1024" max="1024" width="6.85546875" customWidth="1"/>
    <col min="1025" max="1025" width="8.42578125" customWidth="1"/>
    <col min="1026" max="1026" width="29.28515625" customWidth="1"/>
    <col min="1027" max="1027" width="7.28515625" customWidth="1"/>
    <col min="1028" max="1028" width="6.85546875" customWidth="1"/>
    <col min="1029" max="1029" width="7.140625" customWidth="1"/>
    <col min="1030" max="1030" width="6.85546875" customWidth="1"/>
    <col min="1031" max="1031" width="7" customWidth="1"/>
    <col min="1032" max="1032" width="7.5703125" customWidth="1"/>
    <col min="1033" max="1033" width="6.7109375" customWidth="1"/>
    <col min="1034" max="1034" width="8.140625" customWidth="1"/>
    <col min="1035" max="1035" width="6.7109375" customWidth="1"/>
    <col min="1036" max="1036" width="6.85546875" customWidth="1"/>
    <col min="1037" max="1037" width="6.140625" customWidth="1"/>
    <col min="1038" max="1038" width="5.140625" customWidth="1"/>
    <col min="1039" max="1039" width="6.28515625" customWidth="1"/>
    <col min="1040" max="1040" width="6.140625" customWidth="1"/>
    <col min="1041" max="1043" width="6.28515625" customWidth="1"/>
    <col min="1044" max="1044" width="6.7109375" customWidth="1"/>
    <col min="1280" max="1280" width="6.85546875" customWidth="1"/>
    <col min="1281" max="1281" width="8.42578125" customWidth="1"/>
    <col min="1282" max="1282" width="29.28515625" customWidth="1"/>
    <col min="1283" max="1283" width="7.28515625" customWidth="1"/>
    <col min="1284" max="1284" width="6.85546875" customWidth="1"/>
    <col min="1285" max="1285" width="7.140625" customWidth="1"/>
    <col min="1286" max="1286" width="6.85546875" customWidth="1"/>
    <col min="1287" max="1287" width="7" customWidth="1"/>
    <col min="1288" max="1288" width="7.5703125" customWidth="1"/>
    <col min="1289" max="1289" width="6.7109375" customWidth="1"/>
    <col min="1290" max="1290" width="8.140625" customWidth="1"/>
    <col min="1291" max="1291" width="6.7109375" customWidth="1"/>
    <col min="1292" max="1292" width="6.85546875" customWidth="1"/>
    <col min="1293" max="1293" width="6.140625" customWidth="1"/>
    <col min="1294" max="1294" width="5.140625" customWidth="1"/>
    <col min="1295" max="1295" width="6.28515625" customWidth="1"/>
    <col min="1296" max="1296" width="6.140625" customWidth="1"/>
    <col min="1297" max="1299" width="6.28515625" customWidth="1"/>
    <col min="1300" max="1300" width="6.7109375" customWidth="1"/>
    <col min="1536" max="1536" width="6.85546875" customWidth="1"/>
    <col min="1537" max="1537" width="8.42578125" customWidth="1"/>
    <col min="1538" max="1538" width="29.28515625" customWidth="1"/>
    <col min="1539" max="1539" width="7.28515625" customWidth="1"/>
    <col min="1540" max="1540" width="6.85546875" customWidth="1"/>
    <col min="1541" max="1541" width="7.140625" customWidth="1"/>
    <col min="1542" max="1542" width="6.85546875" customWidth="1"/>
    <col min="1543" max="1543" width="7" customWidth="1"/>
    <col min="1544" max="1544" width="7.5703125" customWidth="1"/>
    <col min="1545" max="1545" width="6.7109375" customWidth="1"/>
    <col min="1546" max="1546" width="8.140625" customWidth="1"/>
    <col min="1547" max="1547" width="6.7109375" customWidth="1"/>
    <col min="1548" max="1548" width="6.85546875" customWidth="1"/>
    <col min="1549" max="1549" width="6.140625" customWidth="1"/>
    <col min="1550" max="1550" width="5.140625" customWidth="1"/>
    <col min="1551" max="1551" width="6.28515625" customWidth="1"/>
    <col min="1552" max="1552" width="6.140625" customWidth="1"/>
    <col min="1553" max="1555" width="6.28515625" customWidth="1"/>
    <col min="1556" max="1556" width="6.7109375" customWidth="1"/>
    <col min="1792" max="1792" width="6.85546875" customWidth="1"/>
    <col min="1793" max="1793" width="8.42578125" customWidth="1"/>
    <col min="1794" max="1794" width="29.28515625" customWidth="1"/>
    <col min="1795" max="1795" width="7.28515625" customWidth="1"/>
    <col min="1796" max="1796" width="6.85546875" customWidth="1"/>
    <col min="1797" max="1797" width="7.140625" customWidth="1"/>
    <col min="1798" max="1798" width="6.85546875" customWidth="1"/>
    <col min="1799" max="1799" width="7" customWidth="1"/>
    <col min="1800" max="1800" width="7.5703125" customWidth="1"/>
    <col min="1801" max="1801" width="6.7109375" customWidth="1"/>
    <col min="1802" max="1802" width="8.140625" customWidth="1"/>
    <col min="1803" max="1803" width="6.7109375" customWidth="1"/>
    <col min="1804" max="1804" width="6.85546875" customWidth="1"/>
    <col min="1805" max="1805" width="6.140625" customWidth="1"/>
    <col min="1806" max="1806" width="5.140625" customWidth="1"/>
    <col min="1807" max="1807" width="6.28515625" customWidth="1"/>
    <col min="1808" max="1808" width="6.140625" customWidth="1"/>
    <col min="1809" max="1811" width="6.28515625" customWidth="1"/>
    <col min="1812" max="1812" width="6.7109375" customWidth="1"/>
    <col min="2048" max="2048" width="6.85546875" customWidth="1"/>
    <col min="2049" max="2049" width="8.42578125" customWidth="1"/>
    <col min="2050" max="2050" width="29.28515625" customWidth="1"/>
    <col min="2051" max="2051" width="7.28515625" customWidth="1"/>
    <col min="2052" max="2052" width="6.85546875" customWidth="1"/>
    <col min="2053" max="2053" width="7.140625" customWidth="1"/>
    <col min="2054" max="2054" width="6.85546875" customWidth="1"/>
    <col min="2055" max="2055" width="7" customWidth="1"/>
    <col min="2056" max="2056" width="7.5703125" customWidth="1"/>
    <col min="2057" max="2057" width="6.7109375" customWidth="1"/>
    <col min="2058" max="2058" width="8.140625" customWidth="1"/>
    <col min="2059" max="2059" width="6.7109375" customWidth="1"/>
    <col min="2060" max="2060" width="6.85546875" customWidth="1"/>
    <col min="2061" max="2061" width="6.140625" customWidth="1"/>
    <col min="2062" max="2062" width="5.140625" customWidth="1"/>
    <col min="2063" max="2063" width="6.28515625" customWidth="1"/>
    <col min="2064" max="2064" width="6.140625" customWidth="1"/>
    <col min="2065" max="2067" width="6.28515625" customWidth="1"/>
    <col min="2068" max="2068" width="6.7109375" customWidth="1"/>
    <col min="2304" max="2304" width="6.85546875" customWidth="1"/>
    <col min="2305" max="2305" width="8.42578125" customWidth="1"/>
    <col min="2306" max="2306" width="29.28515625" customWidth="1"/>
    <col min="2307" max="2307" width="7.28515625" customWidth="1"/>
    <col min="2308" max="2308" width="6.85546875" customWidth="1"/>
    <col min="2309" max="2309" width="7.140625" customWidth="1"/>
    <col min="2310" max="2310" width="6.85546875" customWidth="1"/>
    <col min="2311" max="2311" width="7" customWidth="1"/>
    <col min="2312" max="2312" width="7.5703125" customWidth="1"/>
    <col min="2313" max="2313" width="6.7109375" customWidth="1"/>
    <col min="2314" max="2314" width="8.140625" customWidth="1"/>
    <col min="2315" max="2315" width="6.7109375" customWidth="1"/>
    <col min="2316" max="2316" width="6.85546875" customWidth="1"/>
    <col min="2317" max="2317" width="6.140625" customWidth="1"/>
    <col min="2318" max="2318" width="5.140625" customWidth="1"/>
    <col min="2319" max="2319" width="6.28515625" customWidth="1"/>
    <col min="2320" max="2320" width="6.140625" customWidth="1"/>
    <col min="2321" max="2323" width="6.28515625" customWidth="1"/>
    <col min="2324" max="2324" width="6.7109375" customWidth="1"/>
    <col min="2560" max="2560" width="6.85546875" customWidth="1"/>
    <col min="2561" max="2561" width="8.42578125" customWidth="1"/>
    <col min="2562" max="2562" width="29.28515625" customWidth="1"/>
    <col min="2563" max="2563" width="7.28515625" customWidth="1"/>
    <col min="2564" max="2564" width="6.85546875" customWidth="1"/>
    <col min="2565" max="2565" width="7.140625" customWidth="1"/>
    <col min="2566" max="2566" width="6.85546875" customWidth="1"/>
    <col min="2567" max="2567" width="7" customWidth="1"/>
    <col min="2568" max="2568" width="7.5703125" customWidth="1"/>
    <col min="2569" max="2569" width="6.7109375" customWidth="1"/>
    <col min="2570" max="2570" width="8.140625" customWidth="1"/>
    <col min="2571" max="2571" width="6.7109375" customWidth="1"/>
    <col min="2572" max="2572" width="6.85546875" customWidth="1"/>
    <col min="2573" max="2573" width="6.140625" customWidth="1"/>
    <col min="2574" max="2574" width="5.140625" customWidth="1"/>
    <col min="2575" max="2575" width="6.28515625" customWidth="1"/>
    <col min="2576" max="2576" width="6.140625" customWidth="1"/>
    <col min="2577" max="2579" width="6.28515625" customWidth="1"/>
    <col min="2580" max="2580" width="6.7109375" customWidth="1"/>
    <col min="2816" max="2816" width="6.85546875" customWidth="1"/>
    <col min="2817" max="2817" width="8.42578125" customWidth="1"/>
    <col min="2818" max="2818" width="29.28515625" customWidth="1"/>
    <col min="2819" max="2819" width="7.28515625" customWidth="1"/>
    <col min="2820" max="2820" width="6.85546875" customWidth="1"/>
    <col min="2821" max="2821" width="7.140625" customWidth="1"/>
    <col min="2822" max="2822" width="6.85546875" customWidth="1"/>
    <col min="2823" max="2823" width="7" customWidth="1"/>
    <col min="2824" max="2824" width="7.5703125" customWidth="1"/>
    <col min="2825" max="2825" width="6.7109375" customWidth="1"/>
    <col min="2826" max="2826" width="8.140625" customWidth="1"/>
    <col min="2827" max="2827" width="6.7109375" customWidth="1"/>
    <col min="2828" max="2828" width="6.85546875" customWidth="1"/>
    <col min="2829" max="2829" width="6.140625" customWidth="1"/>
    <col min="2830" max="2830" width="5.140625" customWidth="1"/>
    <col min="2831" max="2831" width="6.28515625" customWidth="1"/>
    <col min="2832" max="2832" width="6.140625" customWidth="1"/>
    <col min="2833" max="2835" width="6.28515625" customWidth="1"/>
    <col min="2836" max="2836" width="6.7109375" customWidth="1"/>
    <col min="3072" max="3072" width="6.85546875" customWidth="1"/>
    <col min="3073" max="3073" width="8.42578125" customWidth="1"/>
    <col min="3074" max="3074" width="29.28515625" customWidth="1"/>
    <col min="3075" max="3075" width="7.28515625" customWidth="1"/>
    <col min="3076" max="3076" width="6.85546875" customWidth="1"/>
    <col min="3077" max="3077" width="7.140625" customWidth="1"/>
    <col min="3078" max="3078" width="6.85546875" customWidth="1"/>
    <col min="3079" max="3079" width="7" customWidth="1"/>
    <col min="3080" max="3080" width="7.5703125" customWidth="1"/>
    <col min="3081" max="3081" width="6.7109375" customWidth="1"/>
    <col min="3082" max="3082" width="8.140625" customWidth="1"/>
    <col min="3083" max="3083" width="6.7109375" customWidth="1"/>
    <col min="3084" max="3084" width="6.85546875" customWidth="1"/>
    <col min="3085" max="3085" width="6.140625" customWidth="1"/>
    <col min="3086" max="3086" width="5.140625" customWidth="1"/>
    <col min="3087" max="3087" width="6.28515625" customWidth="1"/>
    <col min="3088" max="3088" width="6.140625" customWidth="1"/>
    <col min="3089" max="3091" width="6.28515625" customWidth="1"/>
    <col min="3092" max="3092" width="6.7109375" customWidth="1"/>
    <col min="3328" max="3328" width="6.85546875" customWidth="1"/>
    <col min="3329" max="3329" width="8.42578125" customWidth="1"/>
    <col min="3330" max="3330" width="29.28515625" customWidth="1"/>
    <col min="3331" max="3331" width="7.28515625" customWidth="1"/>
    <col min="3332" max="3332" width="6.85546875" customWidth="1"/>
    <col min="3333" max="3333" width="7.140625" customWidth="1"/>
    <col min="3334" max="3334" width="6.85546875" customWidth="1"/>
    <col min="3335" max="3335" width="7" customWidth="1"/>
    <col min="3336" max="3336" width="7.5703125" customWidth="1"/>
    <col min="3337" max="3337" width="6.7109375" customWidth="1"/>
    <col min="3338" max="3338" width="8.140625" customWidth="1"/>
    <col min="3339" max="3339" width="6.7109375" customWidth="1"/>
    <col min="3340" max="3340" width="6.85546875" customWidth="1"/>
    <col min="3341" max="3341" width="6.140625" customWidth="1"/>
    <col min="3342" max="3342" width="5.140625" customWidth="1"/>
    <col min="3343" max="3343" width="6.28515625" customWidth="1"/>
    <col min="3344" max="3344" width="6.140625" customWidth="1"/>
    <col min="3345" max="3347" width="6.28515625" customWidth="1"/>
    <col min="3348" max="3348" width="6.7109375" customWidth="1"/>
    <col min="3584" max="3584" width="6.85546875" customWidth="1"/>
    <col min="3585" max="3585" width="8.42578125" customWidth="1"/>
    <col min="3586" max="3586" width="29.28515625" customWidth="1"/>
    <col min="3587" max="3587" width="7.28515625" customWidth="1"/>
    <col min="3588" max="3588" width="6.85546875" customWidth="1"/>
    <col min="3589" max="3589" width="7.140625" customWidth="1"/>
    <col min="3590" max="3590" width="6.85546875" customWidth="1"/>
    <col min="3591" max="3591" width="7" customWidth="1"/>
    <col min="3592" max="3592" width="7.5703125" customWidth="1"/>
    <col min="3593" max="3593" width="6.7109375" customWidth="1"/>
    <col min="3594" max="3594" width="8.140625" customWidth="1"/>
    <col min="3595" max="3595" width="6.7109375" customWidth="1"/>
    <col min="3596" max="3596" width="6.85546875" customWidth="1"/>
    <col min="3597" max="3597" width="6.140625" customWidth="1"/>
    <col min="3598" max="3598" width="5.140625" customWidth="1"/>
    <col min="3599" max="3599" width="6.28515625" customWidth="1"/>
    <col min="3600" max="3600" width="6.140625" customWidth="1"/>
    <col min="3601" max="3603" width="6.28515625" customWidth="1"/>
    <col min="3604" max="3604" width="6.7109375" customWidth="1"/>
    <col min="3840" max="3840" width="6.85546875" customWidth="1"/>
    <col min="3841" max="3841" width="8.42578125" customWidth="1"/>
    <col min="3842" max="3842" width="29.28515625" customWidth="1"/>
    <col min="3843" max="3843" width="7.28515625" customWidth="1"/>
    <col min="3844" max="3844" width="6.85546875" customWidth="1"/>
    <col min="3845" max="3845" width="7.140625" customWidth="1"/>
    <col min="3846" max="3846" width="6.85546875" customWidth="1"/>
    <col min="3847" max="3847" width="7" customWidth="1"/>
    <col min="3848" max="3848" width="7.5703125" customWidth="1"/>
    <col min="3849" max="3849" width="6.7109375" customWidth="1"/>
    <col min="3850" max="3850" width="8.140625" customWidth="1"/>
    <col min="3851" max="3851" width="6.7109375" customWidth="1"/>
    <col min="3852" max="3852" width="6.85546875" customWidth="1"/>
    <col min="3853" max="3853" width="6.140625" customWidth="1"/>
    <col min="3854" max="3854" width="5.140625" customWidth="1"/>
    <col min="3855" max="3855" width="6.28515625" customWidth="1"/>
    <col min="3856" max="3856" width="6.140625" customWidth="1"/>
    <col min="3857" max="3859" width="6.28515625" customWidth="1"/>
    <col min="3860" max="3860" width="6.7109375" customWidth="1"/>
    <col min="4096" max="4096" width="6.85546875" customWidth="1"/>
    <col min="4097" max="4097" width="8.42578125" customWidth="1"/>
    <col min="4098" max="4098" width="29.28515625" customWidth="1"/>
    <col min="4099" max="4099" width="7.28515625" customWidth="1"/>
    <col min="4100" max="4100" width="6.85546875" customWidth="1"/>
    <col min="4101" max="4101" width="7.140625" customWidth="1"/>
    <col min="4102" max="4102" width="6.85546875" customWidth="1"/>
    <col min="4103" max="4103" width="7" customWidth="1"/>
    <col min="4104" max="4104" width="7.5703125" customWidth="1"/>
    <col min="4105" max="4105" width="6.7109375" customWidth="1"/>
    <col min="4106" max="4106" width="8.140625" customWidth="1"/>
    <col min="4107" max="4107" width="6.7109375" customWidth="1"/>
    <col min="4108" max="4108" width="6.85546875" customWidth="1"/>
    <col min="4109" max="4109" width="6.140625" customWidth="1"/>
    <col min="4110" max="4110" width="5.140625" customWidth="1"/>
    <col min="4111" max="4111" width="6.28515625" customWidth="1"/>
    <col min="4112" max="4112" width="6.140625" customWidth="1"/>
    <col min="4113" max="4115" width="6.28515625" customWidth="1"/>
    <col min="4116" max="4116" width="6.7109375" customWidth="1"/>
    <col min="4352" max="4352" width="6.85546875" customWidth="1"/>
    <col min="4353" max="4353" width="8.42578125" customWidth="1"/>
    <col min="4354" max="4354" width="29.28515625" customWidth="1"/>
    <col min="4355" max="4355" width="7.28515625" customWidth="1"/>
    <col min="4356" max="4356" width="6.85546875" customWidth="1"/>
    <col min="4357" max="4357" width="7.140625" customWidth="1"/>
    <col min="4358" max="4358" width="6.85546875" customWidth="1"/>
    <col min="4359" max="4359" width="7" customWidth="1"/>
    <col min="4360" max="4360" width="7.5703125" customWidth="1"/>
    <col min="4361" max="4361" width="6.7109375" customWidth="1"/>
    <col min="4362" max="4362" width="8.140625" customWidth="1"/>
    <col min="4363" max="4363" width="6.7109375" customWidth="1"/>
    <col min="4364" max="4364" width="6.85546875" customWidth="1"/>
    <col min="4365" max="4365" width="6.140625" customWidth="1"/>
    <col min="4366" max="4366" width="5.140625" customWidth="1"/>
    <col min="4367" max="4367" width="6.28515625" customWidth="1"/>
    <col min="4368" max="4368" width="6.140625" customWidth="1"/>
    <col min="4369" max="4371" width="6.28515625" customWidth="1"/>
    <col min="4372" max="4372" width="6.7109375" customWidth="1"/>
    <col min="4608" max="4608" width="6.85546875" customWidth="1"/>
    <col min="4609" max="4609" width="8.42578125" customWidth="1"/>
    <col min="4610" max="4610" width="29.28515625" customWidth="1"/>
    <col min="4611" max="4611" width="7.28515625" customWidth="1"/>
    <col min="4612" max="4612" width="6.85546875" customWidth="1"/>
    <col min="4613" max="4613" width="7.140625" customWidth="1"/>
    <col min="4614" max="4614" width="6.85546875" customWidth="1"/>
    <col min="4615" max="4615" width="7" customWidth="1"/>
    <col min="4616" max="4616" width="7.5703125" customWidth="1"/>
    <col min="4617" max="4617" width="6.7109375" customWidth="1"/>
    <col min="4618" max="4618" width="8.140625" customWidth="1"/>
    <col min="4619" max="4619" width="6.7109375" customWidth="1"/>
    <col min="4620" max="4620" width="6.85546875" customWidth="1"/>
    <col min="4621" max="4621" width="6.140625" customWidth="1"/>
    <col min="4622" max="4622" width="5.140625" customWidth="1"/>
    <col min="4623" max="4623" width="6.28515625" customWidth="1"/>
    <col min="4624" max="4624" width="6.140625" customWidth="1"/>
    <col min="4625" max="4627" width="6.28515625" customWidth="1"/>
    <col min="4628" max="4628" width="6.7109375" customWidth="1"/>
    <col min="4864" max="4864" width="6.85546875" customWidth="1"/>
    <col min="4865" max="4865" width="8.42578125" customWidth="1"/>
    <col min="4866" max="4866" width="29.28515625" customWidth="1"/>
    <col min="4867" max="4867" width="7.28515625" customWidth="1"/>
    <col min="4868" max="4868" width="6.85546875" customWidth="1"/>
    <col min="4869" max="4869" width="7.140625" customWidth="1"/>
    <col min="4870" max="4870" width="6.85546875" customWidth="1"/>
    <col min="4871" max="4871" width="7" customWidth="1"/>
    <col min="4872" max="4872" width="7.5703125" customWidth="1"/>
    <col min="4873" max="4873" width="6.7109375" customWidth="1"/>
    <col min="4874" max="4874" width="8.140625" customWidth="1"/>
    <col min="4875" max="4875" width="6.7109375" customWidth="1"/>
    <col min="4876" max="4876" width="6.85546875" customWidth="1"/>
    <col min="4877" max="4877" width="6.140625" customWidth="1"/>
    <col min="4878" max="4878" width="5.140625" customWidth="1"/>
    <col min="4879" max="4879" width="6.28515625" customWidth="1"/>
    <col min="4880" max="4880" width="6.140625" customWidth="1"/>
    <col min="4881" max="4883" width="6.28515625" customWidth="1"/>
    <col min="4884" max="4884" width="6.7109375" customWidth="1"/>
    <col min="5120" max="5120" width="6.85546875" customWidth="1"/>
    <col min="5121" max="5121" width="8.42578125" customWidth="1"/>
    <col min="5122" max="5122" width="29.28515625" customWidth="1"/>
    <col min="5123" max="5123" width="7.28515625" customWidth="1"/>
    <col min="5124" max="5124" width="6.85546875" customWidth="1"/>
    <col min="5125" max="5125" width="7.140625" customWidth="1"/>
    <col min="5126" max="5126" width="6.85546875" customWidth="1"/>
    <col min="5127" max="5127" width="7" customWidth="1"/>
    <col min="5128" max="5128" width="7.5703125" customWidth="1"/>
    <col min="5129" max="5129" width="6.7109375" customWidth="1"/>
    <col min="5130" max="5130" width="8.140625" customWidth="1"/>
    <col min="5131" max="5131" width="6.7109375" customWidth="1"/>
    <col min="5132" max="5132" width="6.85546875" customWidth="1"/>
    <col min="5133" max="5133" width="6.140625" customWidth="1"/>
    <col min="5134" max="5134" width="5.140625" customWidth="1"/>
    <col min="5135" max="5135" width="6.28515625" customWidth="1"/>
    <col min="5136" max="5136" width="6.140625" customWidth="1"/>
    <col min="5137" max="5139" width="6.28515625" customWidth="1"/>
    <col min="5140" max="5140" width="6.7109375" customWidth="1"/>
    <col min="5376" max="5376" width="6.85546875" customWidth="1"/>
    <col min="5377" max="5377" width="8.42578125" customWidth="1"/>
    <col min="5378" max="5378" width="29.28515625" customWidth="1"/>
    <col min="5379" max="5379" width="7.28515625" customWidth="1"/>
    <col min="5380" max="5380" width="6.85546875" customWidth="1"/>
    <col min="5381" max="5381" width="7.140625" customWidth="1"/>
    <col min="5382" max="5382" width="6.85546875" customWidth="1"/>
    <col min="5383" max="5383" width="7" customWidth="1"/>
    <col min="5384" max="5384" width="7.5703125" customWidth="1"/>
    <col min="5385" max="5385" width="6.7109375" customWidth="1"/>
    <col min="5386" max="5386" width="8.140625" customWidth="1"/>
    <col min="5387" max="5387" width="6.7109375" customWidth="1"/>
    <col min="5388" max="5388" width="6.85546875" customWidth="1"/>
    <col min="5389" max="5389" width="6.140625" customWidth="1"/>
    <col min="5390" max="5390" width="5.140625" customWidth="1"/>
    <col min="5391" max="5391" width="6.28515625" customWidth="1"/>
    <col min="5392" max="5392" width="6.140625" customWidth="1"/>
    <col min="5393" max="5395" width="6.28515625" customWidth="1"/>
    <col min="5396" max="5396" width="6.7109375" customWidth="1"/>
    <col min="5632" max="5632" width="6.85546875" customWidth="1"/>
    <col min="5633" max="5633" width="8.42578125" customWidth="1"/>
    <col min="5634" max="5634" width="29.28515625" customWidth="1"/>
    <col min="5635" max="5635" width="7.28515625" customWidth="1"/>
    <col min="5636" max="5636" width="6.85546875" customWidth="1"/>
    <col min="5637" max="5637" width="7.140625" customWidth="1"/>
    <col min="5638" max="5638" width="6.85546875" customWidth="1"/>
    <col min="5639" max="5639" width="7" customWidth="1"/>
    <col min="5640" max="5640" width="7.5703125" customWidth="1"/>
    <col min="5641" max="5641" width="6.7109375" customWidth="1"/>
    <col min="5642" max="5642" width="8.140625" customWidth="1"/>
    <col min="5643" max="5643" width="6.7109375" customWidth="1"/>
    <col min="5644" max="5644" width="6.85546875" customWidth="1"/>
    <col min="5645" max="5645" width="6.140625" customWidth="1"/>
    <col min="5646" max="5646" width="5.140625" customWidth="1"/>
    <col min="5647" max="5647" width="6.28515625" customWidth="1"/>
    <col min="5648" max="5648" width="6.140625" customWidth="1"/>
    <col min="5649" max="5651" width="6.28515625" customWidth="1"/>
    <col min="5652" max="5652" width="6.7109375" customWidth="1"/>
    <col min="5888" max="5888" width="6.85546875" customWidth="1"/>
    <col min="5889" max="5889" width="8.42578125" customWidth="1"/>
    <col min="5890" max="5890" width="29.28515625" customWidth="1"/>
    <col min="5891" max="5891" width="7.28515625" customWidth="1"/>
    <col min="5892" max="5892" width="6.85546875" customWidth="1"/>
    <col min="5893" max="5893" width="7.140625" customWidth="1"/>
    <col min="5894" max="5894" width="6.85546875" customWidth="1"/>
    <col min="5895" max="5895" width="7" customWidth="1"/>
    <col min="5896" max="5896" width="7.5703125" customWidth="1"/>
    <col min="5897" max="5897" width="6.7109375" customWidth="1"/>
    <col min="5898" max="5898" width="8.140625" customWidth="1"/>
    <col min="5899" max="5899" width="6.7109375" customWidth="1"/>
    <col min="5900" max="5900" width="6.85546875" customWidth="1"/>
    <col min="5901" max="5901" width="6.140625" customWidth="1"/>
    <col min="5902" max="5902" width="5.140625" customWidth="1"/>
    <col min="5903" max="5903" width="6.28515625" customWidth="1"/>
    <col min="5904" max="5904" width="6.140625" customWidth="1"/>
    <col min="5905" max="5907" width="6.28515625" customWidth="1"/>
    <col min="5908" max="5908" width="6.7109375" customWidth="1"/>
    <col min="6144" max="6144" width="6.85546875" customWidth="1"/>
    <col min="6145" max="6145" width="8.42578125" customWidth="1"/>
    <col min="6146" max="6146" width="29.28515625" customWidth="1"/>
    <col min="6147" max="6147" width="7.28515625" customWidth="1"/>
    <col min="6148" max="6148" width="6.85546875" customWidth="1"/>
    <col min="6149" max="6149" width="7.140625" customWidth="1"/>
    <col min="6150" max="6150" width="6.85546875" customWidth="1"/>
    <col min="6151" max="6151" width="7" customWidth="1"/>
    <col min="6152" max="6152" width="7.5703125" customWidth="1"/>
    <col min="6153" max="6153" width="6.7109375" customWidth="1"/>
    <col min="6154" max="6154" width="8.140625" customWidth="1"/>
    <col min="6155" max="6155" width="6.7109375" customWidth="1"/>
    <col min="6156" max="6156" width="6.85546875" customWidth="1"/>
    <col min="6157" max="6157" width="6.140625" customWidth="1"/>
    <col min="6158" max="6158" width="5.140625" customWidth="1"/>
    <col min="6159" max="6159" width="6.28515625" customWidth="1"/>
    <col min="6160" max="6160" width="6.140625" customWidth="1"/>
    <col min="6161" max="6163" width="6.28515625" customWidth="1"/>
    <col min="6164" max="6164" width="6.7109375" customWidth="1"/>
    <col min="6400" max="6400" width="6.85546875" customWidth="1"/>
    <col min="6401" max="6401" width="8.42578125" customWidth="1"/>
    <col min="6402" max="6402" width="29.28515625" customWidth="1"/>
    <col min="6403" max="6403" width="7.28515625" customWidth="1"/>
    <col min="6404" max="6404" width="6.85546875" customWidth="1"/>
    <col min="6405" max="6405" width="7.140625" customWidth="1"/>
    <col min="6406" max="6406" width="6.85546875" customWidth="1"/>
    <col min="6407" max="6407" width="7" customWidth="1"/>
    <col min="6408" max="6408" width="7.5703125" customWidth="1"/>
    <col min="6409" max="6409" width="6.7109375" customWidth="1"/>
    <col min="6410" max="6410" width="8.140625" customWidth="1"/>
    <col min="6411" max="6411" width="6.7109375" customWidth="1"/>
    <col min="6412" max="6412" width="6.85546875" customWidth="1"/>
    <col min="6413" max="6413" width="6.140625" customWidth="1"/>
    <col min="6414" max="6414" width="5.140625" customWidth="1"/>
    <col min="6415" max="6415" width="6.28515625" customWidth="1"/>
    <col min="6416" max="6416" width="6.140625" customWidth="1"/>
    <col min="6417" max="6419" width="6.28515625" customWidth="1"/>
    <col min="6420" max="6420" width="6.7109375" customWidth="1"/>
    <col min="6656" max="6656" width="6.85546875" customWidth="1"/>
    <col min="6657" max="6657" width="8.42578125" customWidth="1"/>
    <col min="6658" max="6658" width="29.28515625" customWidth="1"/>
    <col min="6659" max="6659" width="7.28515625" customWidth="1"/>
    <col min="6660" max="6660" width="6.85546875" customWidth="1"/>
    <col min="6661" max="6661" width="7.140625" customWidth="1"/>
    <col min="6662" max="6662" width="6.85546875" customWidth="1"/>
    <col min="6663" max="6663" width="7" customWidth="1"/>
    <col min="6664" max="6664" width="7.5703125" customWidth="1"/>
    <col min="6665" max="6665" width="6.7109375" customWidth="1"/>
    <col min="6666" max="6666" width="8.140625" customWidth="1"/>
    <col min="6667" max="6667" width="6.7109375" customWidth="1"/>
    <col min="6668" max="6668" width="6.85546875" customWidth="1"/>
    <col min="6669" max="6669" width="6.140625" customWidth="1"/>
    <col min="6670" max="6670" width="5.140625" customWidth="1"/>
    <col min="6671" max="6671" width="6.28515625" customWidth="1"/>
    <col min="6672" max="6672" width="6.140625" customWidth="1"/>
    <col min="6673" max="6675" width="6.28515625" customWidth="1"/>
    <col min="6676" max="6676" width="6.7109375" customWidth="1"/>
    <col min="6912" max="6912" width="6.85546875" customWidth="1"/>
    <col min="6913" max="6913" width="8.42578125" customWidth="1"/>
    <col min="6914" max="6914" width="29.28515625" customWidth="1"/>
    <col min="6915" max="6915" width="7.28515625" customWidth="1"/>
    <col min="6916" max="6916" width="6.85546875" customWidth="1"/>
    <col min="6917" max="6917" width="7.140625" customWidth="1"/>
    <col min="6918" max="6918" width="6.85546875" customWidth="1"/>
    <col min="6919" max="6919" width="7" customWidth="1"/>
    <col min="6920" max="6920" width="7.5703125" customWidth="1"/>
    <col min="6921" max="6921" width="6.7109375" customWidth="1"/>
    <col min="6922" max="6922" width="8.140625" customWidth="1"/>
    <col min="6923" max="6923" width="6.7109375" customWidth="1"/>
    <col min="6924" max="6924" width="6.85546875" customWidth="1"/>
    <col min="6925" max="6925" width="6.140625" customWidth="1"/>
    <col min="6926" max="6926" width="5.140625" customWidth="1"/>
    <col min="6927" max="6927" width="6.28515625" customWidth="1"/>
    <col min="6928" max="6928" width="6.140625" customWidth="1"/>
    <col min="6929" max="6931" width="6.28515625" customWidth="1"/>
    <col min="6932" max="6932" width="6.7109375" customWidth="1"/>
    <col min="7168" max="7168" width="6.85546875" customWidth="1"/>
    <col min="7169" max="7169" width="8.42578125" customWidth="1"/>
    <col min="7170" max="7170" width="29.28515625" customWidth="1"/>
    <col min="7171" max="7171" width="7.28515625" customWidth="1"/>
    <col min="7172" max="7172" width="6.85546875" customWidth="1"/>
    <col min="7173" max="7173" width="7.140625" customWidth="1"/>
    <col min="7174" max="7174" width="6.85546875" customWidth="1"/>
    <col min="7175" max="7175" width="7" customWidth="1"/>
    <col min="7176" max="7176" width="7.5703125" customWidth="1"/>
    <col min="7177" max="7177" width="6.7109375" customWidth="1"/>
    <col min="7178" max="7178" width="8.140625" customWidth="1"/>
    <col min="7179" max="7179" width="6.7109375" customWidth="1"/>
    <col min="7180" max="7180" width="6.85546875" customWidth="1"/>
    <col min="7181" max="7181" width="6.140625" customWidth="1"/>
    <col min="7182" max="7182" width="5.140625" customWidth="1"/>
    <col min="7183" max="7183" width="6.28515625" customWidth="1"/>
    <col min="7184" max="7184" width="6.140625" customWidth="1"/>
    <col min="7185" max="7187" width="6.28515625" customWidth="1"/>
    <col min="7188" max="7188" width="6.7109375" customWidth="1"/>
    <col min="7424" max="7424" width="6.85546875" customWidth="1"/>
    <col min="7425" max="7425" width="8.42578125" customWidth="1"/>
    <col min="7426" max="7426" width="29.28515625" customWidth="1"/>
    <col min="7427" max="7427" width="7.28515625" customWidth="1"/>
    <col min="7428" max="7428" width="6.85546875" customWidth="1"/>
    <col min="7429" max="7429" width="7.140625" customWidth="1"/>
    <col min="7430" max="7430" width="6.85546875" customWidth="1"/>
    <col min="7431" max="7431" width="7" customWidth="1"/>
    <col min="7432" max="7432" width="7.5703125" customWidth="1"/>
    <col min="7433" max="7433" width="6.7109375" customWidth="1"/>
    <col min="7434" max="7434" width="8.140625" customWidth="1"/>
    <col min="7435" max="7435" width="6.7109375" customWidth="1"/>
    <col min="7436" max="7436" width="6.85546875" customWidth="1"/>
    <col min="7437" max="7437" width="6.140625" customWidth="1"/>
    <col min="7438" max="7438" width="5.140625" customWidth="1"/>
    <col min="7439" max="7439" width="6.28515625" customWidth="1"/>
    <col min="7440" max="7440" width="6.140625" customWidth="1"/>
    <col min="7441" max="7443" width="6.28515625" customWidth="1"/>
    <col min="7444" max="7444" width="6.7109375" customWidth="1"/>
    <col min="7680" max="7680" width="6.85546875" customWidth="1"/>
    <col min="7681" max="7681" width="8.42578125" customWidth="1"/>
    <col min="7682" max="7682" width="29.28515625" customWidth="1"/>
    <col min="7683" max="7683" width="7.28515625" customWidth="1"/>
    <col min="7684" max="7684" width="6.85546875" customWidth="1"/>
    <col min="7685" max="7685" width="7.140625" customWidth="1"/>
    <col min="7686" max="7686" width="6.85546875" customWidth="1"/>
    <col min="7687" max="7687" width="7" customWidth="1"/>
    <col min="7688" max="7688" width="7.5703125" customWidth="1"/>
    <col min="7689" max="7689" width="6.7109375" customWidth="1"/>
    <col min="7690" max="7690" width="8.140625" customWidth="1"/>
    <col min="7691" max="7691" width="6.7109375" customWidth="1"/>
    <col min="7692" max="7692" width="6.85546875" customWidth="1"/>
    <col min="7693" max="7693" width="6.140625" customWidth="1"/>
    <col min="7694" max="7694" width="5.140625" customWidth="1"/>
    <col min="7695" max="7695" width="6.28515625" customWidth="1"/>
    <col min="7696" max="7696" width="6.140625" customWidth="1"/>
    <col min="7697" max="7699" width="6.28515625" customWidth="1"/>
    <col min="7700" max="7700" width="6.7109375" customWidth="1"/>
    <col min="7936" max="7936" width="6.85546875" customWidth="1"/>
    <col min="7937" max="7937" width="8.42578125" customWidth="1"/>
    <col min="7938" max="7938" width="29.28515625" customWidth="1"/>
    <col min="7939" max="7939" width="7.28515625" customWidth="1"/>
    <col min="7940" max="7940" width="6.85546875" customWidth="1"/>
    <col min="7941" max="7941" width="7.140625" customWidth="1"/>
    <col min="7942" max="7942" width="6.85546875" customWidth="1"/>
    <col min="7943" max="7943" width="7" customWidth="1"/>
    <col min="7944" max="7944" width="7.5703125" customWidth="1"/>
    <col min="7945" max="7945" width="6.7109375" customWidth="1"/>
    <col min="7946" max="7946" width="8.140625" customWidth="1"/>
    <col min="7947" max="7947" width="6.7109375" customWidth="1"/>
    <col min="7948" max="7948" width="6.85546875" customWidth="1"/>
    <col min="7949" max="7949" width="6.140625" customWidth="1"/>
    <col min="7950" max="7950" width="5.140625" customWidth="1"/>
    <col min="7951" max="7951" width="6.28515625" customWidth="1"/>
    <col min="7952" max="7952" width="6.140625" customWidth="1"/>
    <col min="7953" max="7955" width="6.28515625" customWidth="1"/>
    <col min="7956" max="7956" width="6.7109375" customWidth="1"/>
    <col min="8192" max="8192" width="6.85546875" customWidth="1"/>
    <col min="8193" max="8193" width="8.42578125" customWidth="1"/>
    <col min="8194" max="8194" width="29.28515625" customWidth="1"/>
    <col min="8195" max="8195" width="7.28515625" customWidth="1"/>
    <col min="8196" max="8196" width="6.85546875" customWidth="1"/>
    <col min="8197" max="8197" width="7.140625" customWidth="1"/>
    <col min="8198" max="8198" width="6.85546875" customWidth="1"/>
    <col min="8199" max="8199" width="7" customWidth="1"/>
    <col min="8200" max="8200" width="7.5703125" customWidth="1"/>
    <col min="8201" max="8201" width="6.7109375" customWidth="1"/>
    <col min="8202" max="8202" width="8.140625" customWidth="1"/>
    <col min="8203" max="8203" width="6.7109375" customWidth="1"/>
    <col min="8204" max="8204" width="6.85546875" customWidth="1"/>
    <col min="8205" max="8205" width="6.140625" customWidth="1"/>
    <col min="8206" max="8206" width="5.140625" customWidth="1"/>
    <col min="8207" max="8207" width="6.28515625" customWidth="1"/>
    <col min="8208" max="8208" width="6.140625" customWidth="1"/>
    <col min="8209" max="8211" width="6.28515625" customWidth="1"/>
    <col min="8212" max="8212" width="6.7109375" customWidth="1"/>
    <col min="8448" max="8448" width="6.85546875" customWidth="1"/>
    <col min="8449" max="8449" width="8.42578125" customWidth="1"/>
    <col min="8450" max="8450" width="29.28515625" customWidth="1"/>
    <col min="8451" max="8451" width="7.28515625" customWidth="1"/>
    <col min="8452" max="8452" width="6.85546875" customWidth="1"/>
    <col min="8453" max="8453" width="7.140625" customWidth="1"/>
    <col min="8454" max="8454" width="6.85546875" customWidth="1"/>
    <col min="8455" max="8455" width="7" customWidth="1"/>
    <col min="8456" max="8456" width="7.5703125" customWidth="1"/>
    <col min="8457" max="8457" width="6.7109375" customWidth="1"/>
    <col min="8458" max="8458" width="8.140625" customWidth="1"/>
    <col min="8459" max="8459" width="6.7109375" customWidth="1"/>
    <col min="8460" max="8460" width="6.85546875" customWidth="1"/>
    <col min="8461" max="8461" width="6.140625" customWidth="1"/>
    <col min="8462" max="8462" width="5.140625" customWidth="1"/>
    <col min="8463" max="8463" width="6.28515625" customWidth="1"/>
    <col min="8464" max="8464" width="6.140625" customWidth="1"/>
    <col min="8465" max="8467" width="6.28515625" customWidth="1"/>
    <col min="8468" max="8468" width="6.7109375" customWidth="1"/>
    <col min="8704" max="8704" width="6.85546875" customWidth="1"/>
    <col min="8705" max="8705" width="8.42578125" customWidth="1"/>
    <col min="8706" max="8706" width="29.28515625" customWidth="1"/>
    <col min="8707" max="8707" width="7.28515625" customWidth="1"/>
    <col min="8708" max="8708" width="6.85546875" customWidth="1"/>
    <col min="8709" max="8709" width="7.140625" customWidth="1"/>
    <col min="8710" max="8710" width="6.85546875" customWidth="1"/>
    <col min="8711" max="8711" width="7" customWidth="1"/>
    <col min="8712" max="8712" width="7.5703125" customWidth="1"/>
    <col min="8713" max="8713" width="6.7109375" customWidth="1"/>
    <col min="8714" max="8714" width="8.140625" customWidth="1"/>
    <col min="8715" max="8715" width="6.7109375" customWidth="1"/>
    <col min="8716" max="8716" width="6.85546875" customWidth="1"/>
    <col min="8717" max="8717" width="6.140625" customWidth="1"/>
    <col min="8718" max="8718" width="5.140625" customWidth="1"/>
    <col min="8719" max="8719" width="6.28515625" customWidth="1"/>
    <col min="8720" max="8720" width="6.140625" customWidth="1"/>
    <col min="8721" max="8723" width="6.28515625" customWidth="1"/>
    <col min="8724" max="8724" width="6.7109375" customWidth="1"/>
    <col min="8960" max="8960" width="6.85546875" customWidth="1"/>
    <col min="8961" max="8961" width="8.42578125" customWidth="1"/>
    <col min="8962" max="8962" width="29.28515625" customWidth="1"/>
    <col min="8963" max="8963" width="7.28515625" customWidth="1"/>
    <col min="8964" max="8964" width="6.85546875" customWidth="1"/>
    <col min="8965" max="8965" width="7.140625" customWidth="1"/>
    <col min="8966" max="8966" width="6.85546875" customWidth="1"/>
    <col min="8967" max="8967" width="7" customWidth="1"/>
    <col min="8968" max="8968" width="7.5703125" customWidth="1"/>
    <col min="8969" max="8969" width="6.7109375" customWidth="1"/>
    <col min="8970" max="8970" width="8.140625" customWidth="1"/>
    <col min="8971" max="8971" width="6.7109375" customWidth="1"/>
    <col min="8972" max="8972" width="6.85546875" customWidth="1"/>
    <col min="8973" max="8973" width="6.140625" customWidth="1"/>
    <col min="8974" max="8974" width="5.140625" customWidth="1"/>
    <col min="8975" max="8975" width="6.28515625" customWidth="1"/>
    <col min="8976" max="8976" width="6.140625" customWidth="1"/>
    <col min="8977" max="8979" width="6.28515625" customWidth="1"/>
    <col min="8980" max="8980" width="6.7109375" customWidth="1"/>
    <col min="9216" max="9216" width="6.85546875" customWidth="1"/>
    <col min="9217" max="9217" width="8.42578125" customWidth="1"/>
    <col min="9218" max="9218" width="29.28515625" customWidth="1"/>
    <col min="9219" max="9219" width="7.28515625" customWidth="1"/>
    <col min="9220" max="9220" width="6.85546875" customWidth="1"/>
    <col min="9221" max="9221" width="7.140625" customWidth="1"/>
    <col min="9222" max="9222" width="6.85546875" customWidth="1"/>
    <col min="9223" max="9223" width="7" customWidth="1"/>
    <col min="9224" max="9224" width="7.5703125" customWidth="1"/>
    <col min="9225" max="9225" width="6.7109375" customWidth="1"/>
    <col min="9226" max="9226" width="8.140625" customWidth="1"/>
    <col min="9227" max="9227" width="6.7109375" customWidth="1"/>
    <col min="9228" max="9228" width="6.85546875" customWidth="1"/>
    <col min="9229" max="9229" width="6.140625" customWidth="1"/>
    <col min="9230" max="9230" width="5.140625" customWidth="1"/>
    <col min="9231" max="9231" width="6.28515625" customWidth="1"/>
    <col min="9232" max="9232" width="6.140625" customWidth="1"/>
    <col min="9233" max="9235" width="6.28515625" customWidth="1"/>
    <col min="9236" max="9236" width="6.7109375" customWidth="1"/>
    <col min="9472" max="9472" width="6.85546875" customWidth="1"/>
    <col min="9473" max="9473" width="8.42578125" customWidth="1"/>
    <col min="9474" max="9474" width="29.28515625" customWidth="1"/>
    <col min="9475" max="9475" width="7.28515625" customWidth="1"/>
    <col min="9476" max="9476" width="6.85546875" customWidth="1"/>
    <col min="9477" max="9477" width="7.140625" customWidth="1"/>
    <col min="9478" max="9478" width="6.85546875" customWidth="1"/>
    <col min="9479" max="9479" width="7" customWidth="1"/>
    <col min="9480" max="9480" width="7.5703125" customWidth="1"/>
    <col min="9481" max="9481" width="6.7109375" customWidth="1"/>
    <col min="9482" max="9482" width="8.140625" customWidth="1"/>
    <col min="9483" max="9483" width="6.7109375" customWidth="1"/>
    <col min="9484" max="9484" width="6.85546875" customWidth="1"/>
    <col min="9485" max="9485" width="6.140625" customWidth="1"/>
    <col min="9486" max="9486" width="5.140625" customWidth="1"/>
    <col min="9487" max="9487" width="6.28515625" customWidth="1"/>
    <col min="9488" max="9488" width="6.140625" customWidth="1"/>
    <col min="9489" max="9491" width="6.28515625" customWidth="1"/>
    <col min="9492" max="9492" width="6.7109375" customWidth="1"/>
    <col min="9728" max="9728" width="6.85546875" customWidth="1"/>
    <col min="9729" max="9729" width="8.42578125" customWidth="1"/>
    <col min="9730" max="9730" width="29.28515625" customWidth="1"/>
    <col min="9731" max="9731" width="7.28515625" customWidth="1"/>
    <col min="9732" max="9732" width="6.85546875" customWidth="1"/>
    <col min="9733" max="9733" width="7.140625" customWidth="1"/>
    <col min="9734" max="9734" width="6.85546875" customWidth="1"/>
    <col min="9735" max="9735" width="7" customWidth="1"/>
    <col min="9736" max="9736" width="7.5703125" customWidth="1"/>
    <col min="9737" max="9737" width="6.7109375" customWidth="1"/>
    <col min="9738" max="9738" width="8.140625" customWidth="1"/>
    <col min="9739" max="9739" width="6.7109375" customWidth="1"/>
    <col min="9740" max="9740" width="6.85546875" customWidth="1"/>
    <col min="9741" max="9741" width="6.140625" customWidth="1"/>
    <col min="9742" max="9742" width="5.140625" customWidth="1"/>
    <col min="9743" max="9743" width="6.28515625" customWidth="1"/>
    <col min="9744" max="9744" width="6.140625" customWidth="1"/>
    <col min="9745" max="9747" width="6.28515625" customWidth="1"/>
    <col min="9748" max="9748" width="6.7109375" customWidth="1"/>
    <col min="9984" max="9984" width="6.85546875" customWidth="1"/>
    <col min="9985" max="9985" width="8.42578125" customWidth="1"/>
    <col min="9986" max="9986" width="29.28515625" customWidth="1"/>
    <col min="9987" max="9987" width="7.28515625" customWidth="1"/>
    <col min="9988" max="9988" width="6.85546875" customWidth="1"/>
    <col min="9989" max="9989" width="7.140625" customWidth="1"/>
    <col min="9990" max="9990" width="6.85546875" customWidth="1"/>
    <col min="9991" max="9991" width="7" customWidth="1"/>
    <col min="9992" max="9992" width="7.5703125" customWidth="1"/>
    <col min="9993" max="9993" width="6.7109375" customWidth="1"/>
    <col min="9994" max="9994" width="8.140625" customWidth="1"/>
    <col min="9995" max="9995" width="6.7109375" customWidth="1"/>
    <col min="9996" max="9996" width="6.85546875" customWidth="1"/>
    <col min="9997" max="9997" width="6.140625" customWidth="1"/>
    <col min="9998" max="9998" width="5.140625" customWidth="1"/>
    <col min="9999" max="9999" width="6.28515625" customWidth="1"/>
    <col min="10000" max="10000" width="6.140625" customWidth="1"/>
    <col min="10001" max="10003" width="6.28515625" customWidth="1"/>
    <col min="10004" max="10004" width="6.7109375" customWidth="1"/>
    <col min="10240" max="10240" width="6.85546875" customWidth="1"/>
    <col min="10241" max="10241" width="8.42578125" customWidth="1"/>
    <col min="10242" max="10242" width="29.28515625" customWidth="1"/>
    <col min="10243" max="10243" width="7.28515625" customWidth="1"/>
    <col min="10244" max="10244" width="6.85546875" customWidth="1"/>
    <col min="10245" max="10245" width="7.140625" customWidth="1"/>
    <col min="10246" max="10246" width="6.85546875" customWidth="1"/>
    <col min="10247" max="10247" width="7" customWidth="1"/>
    <col min="10248" max="10248" width="7.5703125" customWidth="1"/>
    <col min="10249" max="10249" width="6.7109375" customWidth="1"/>
    <col min="10250" max="10250" width="8.140625" customWidth="1"/>
    <col min="10251" max="10251" width="6.7109375" customWidth="1"/>
    <col min="10252" max="10252" width="6.85546875" customWidth="1"/>
    <col min="10253" max="10253" width="6.140625" customWidth="1"/>
    <col min="10254" max="10254" width="5.140625" customWidth="1"/>
    <col min="10255" max="10255" width="6.28515625" customWidth="1"/>
    <col min="10256" max="10256" width="6.140625" customWidth="1"/>
    <col min="10257" max="10259" width="6.28515625" customWidth="1"/>
    <col min="10260" max="10260" width="6.7109375" customWidth="1"/>
    <col min="10496" max="10496" width="6.85546875" customWidth="1"/>
    <col min="10497" max="10497" width="8.42578125" customWidth="1"/>
    <col min="10498" max="10498" width="29.28515625" customWidth="1"/>
    <col min="10499" max="10499" width="7.28515625" customWidth="1"/>
    <col min="10500" max="10500" width="6.85546875" customWidth="1"/>
    <col min="10501" max="10501" width="7.140625" customWidth="1"/>
    <col min="10502" max="10502" width="6.85546875" customWidth="1"/>
    <col min="10503" max="10503" width="7" customWidth="1"/>
    <col min="10504" max="10504" width="7.5703125" customWidth="1"/>
    <col min="10505" max="10505" width="6.7109375" customWidth="1"/>
    <col min="10506" max="10506" width="8.140625" customWidth="1"/>
    <col min="10507" max="10507" width="6.7109375" customWidth="1"/>
    <col min="10508" max="10508" width="6.85546875" customWidth="1"/>
    <col min="10509" max="10509" width="6.140625" customWidth="1"/>
    <col min="10510" max="10510" width="5.140625" customWidth="1"/>
    <col min="10511" max="10511" width="6.28515625" customWidth="1"/>
    <col min="10512" max="10512" width="6.140625" customWidth="1"/>
    <col min="10513" max="10515" width="6.28515625" customWidth="1"/>
    <col min="10516" max="10516" width="6.7109375" customWidth="1"/>
    <col min="10752" max="10752" width="6.85546875" customWidth="1"/>
    <col min="10753" max="10753" width="8.42578125" customWidth="1"/>
    <col min="10754" max="10754" width="29.28515625" customWidth="1"/>
    <col min="10755" max="10755" width="7.28515625" customWidth="1"/>
    <col min="10756" max="10756" width="6.85546875" customWidth="1"/>
    <col min="10757" max="10757" width="7.140625" customWidth="1"/>
    <col min="10758" max="10758" width="6.85546875" customWidth="1"/>
    <col min="10759" max="10759" width="7" customWidth="1"/>
    <col min="10760" max="10760" width="7.5703125" customWidth="1"/>
    <col min="10761" max="10761" width="6.7109375" customWidth="1"/>
    <col min="10762" max="10762" width="8.140625" customWidth="1"/>
    <col min="10763" max="10763" width="6.7109375" customWidth="1"/>
    <col min="10764" max="10764" width="6.85546875" customWidth="1"/>
    <col min="10765" max="10765" width="6.140625" customWidth="1"/>
    <col min="10766" max="10766" width="5.140625" customWidth="1"/>
    <col min="10767" max="10767" width="6.28515625" customWidth="1"/>
    <col min="10768" max="10768" width="6.140625" customWidth="1"/>
    <col min="10769" max="10771" width="6.28515625" customWidth="1"/>
    <col min="10772" max="10772" width="6.7109375" customWidth="1"/>
    <col min="11008" max="11008" width="6.85546875" customWidth="1"/>
    <col min="11009" max="11009" width="8.42578125" customWidth="1"/>
    <col min="11010" max="11010" width="29.28515625" customWidth="1"/>
    <col min="11011" max="11011" width="7.28515625" customWidth="1"/>
    <col min="11012" max="11012" width="6.85546875" customWidth="1"/>
    <col min="11013" max="11013" width="7.140625" customWidth="1"/>
    <col min="11014" max="11014" width="6.85546875" customWidth="1"/>
    <col min="11015" max="11015" width="7" customWidth="1"/>
    <col min="11016" max="11016" width="7.5703125" customWidth="1"/>
    <col min="11017" max="11017" width="6.7109375" customWidth="1"/>
    <col min="11018" max="11018" width="8.140625" customWidth="1"/>
    <col min="11019" max="11019" width="6.7109375" customWidth="1"/>
    <col min="11020" max="11020" width="6.85546875" customWidth="1"/>
    <col min="11021" max="11021" width="6.140625" customWidth="1"/>
    <col min="11022" max="11022" width="5.140625" customWidth="1"/>
    <col min="11023" max="11023" width="6.28515625" customWidth="1"/>
    <col min="11024" max="11024" width="6.140625" customWidth="1"/>
    <col min="11025" max="11027" width="6.28515625" customWidth="1"/>
    <col min="11028" max="11028" width="6.7109375" customWidth="1"/>
    <col min="11264" max="11264" width="6.85546875" customWidth="1"/>
    <col min="11265" max="11265" width="8.42578125" customWidth="1"/>
    <col min="11266" max="11266" width="29.28515625" customWidth="1"/>
    <col min="11267" max="11267" width="7.28515625" customWidth="1"/>
    <col min="11268" max="11268" width="6.85546875" customWidth="1"/>
    <col min="11269" max="11269" width="7.140625" customWidth="1"/>
    <col min="11270" max="11270" width="6.85546875" customWidth="1"/>
    <col min="11271" max="11271" width="7" customWidth="1"/>
    <col min="11272" max="11272" width="7.5703125" customWidth="1"/>
    <col min="11273" max="11273" width="6.7109375" customWidth="1"/>
    <col min="11274" max="11274" width="8.140625" customWidth="1"/>
    <col min="11275" max="11275" width="6.7109375" customWidth="1"/>
    <col min="11276" max="11276" width="6.85546875" customWidth="1"/>
    <col min="11277" max="11277" width="6.140625" customWidth="1"/>
    <col min="11278" max="11278" width="5.140625" customWidth="1"/>
    <col min="11279" max="11279" width="6.28515625" customWidth="1"/>
    <col min="11280" max="11280" width="6.140625" customWidth="1"/>
    <col min="11281" max="11283" width="6.28515625" customWidth="1"/>
    <col min="11284" max="11284" width="6.7109375" customWidth="1"/>
    <col min="11520" max="11520" width="6.85546875" customWidth="1"/>
    <col min="11521" max="11521" width="8.42578125" customWidth="1"/>
    <col min="11522" max="11522" width="29.28515625" customWidth="1"/>
    <col min="11523" max="11523" width="7.28515625" customWidth="1"/>
    <col min="11524" max="11524" width="6.85546875" customWidth="1"/>
    <col min="11525" max="11525" width="7.140625" customWidth="1"/>
    <col min="11526" max="11526" width="6.85546875" customWidth="1"/>
    <col min="11527" max="11527" width="7" customWidth="1"/>
    <col min="11528" max="11528" width="7.5703125" customWidth="1"/>
    <col min="11529" max="11529" width="6.7109375" customWidth="1"/>
    <col min="11530" max="11530" width="8.140625" customWidth="1"/>
    <col min="11531" max="11531" width="6.7109375" customWidth="1"/>
    <col min="11532" max="11532" width="6.85546875" customWidth="1"/>
    <col min="11533" max="11533" width="6.140625" customWidth="1"/>
    <col min="11534" max="11534" width="5.140625" customWidth="1"/>
    <col min="11535" max="11535" width="6.28515625" customWidth="1"/>
    <col min="11536" max="11536" width="6.140625" customWidth="1"/>
    <col min="11537" max="11539" width="6.28515625" customWidth="1"/>
    <col min="11540" max="11540" width="6.7109375" customWidth="1"/>
    <col min="11776" max="11776" width="6.85546875" customWidth="1"/>
    <col min="11777" max="11777" width="8.42578125" customWidth="1"/>
    <col min="11778" max="11778" width="29.28515625" customWidth="1"/>
    <col min="11779" max="11779" width="7.28515625" customWidth="1"/>
    <col min="11780" max="11780" width="6.85546875" customWidth="1"/>
    <col min="11781" max="11781" width="7.140625" customWidth="1"/>
    <col min="11782" max="11782" width="6.85546875" customWidth="1"/>
    <col min="11783" max="11783" width="7" customWidth="1"/>
    <col min="11784" max="11784" width="7.5703125" customWidth="1"/>
    <col min="11785" max="11785" width="6.7109375" customWidth="1"/>
    <col min="11786" max="11786" width="8.140625" customWidth="1"/>
    <col min="11787" max="11787" width="6.7109375" customWidth="1"/>
    <col min="11788" max="11788" width="6.85546875" customWidth="1"/>
    <col min="11789" max="11789" width="6.140625" customWidth="1"/>
    <col min="11790" max="11790" width="5.140625" customWidth="1"/>
    <col min="11791" max="11791" width="6.28515625" customWidth="1"/>
    <col min="11792" max="11792" width="6.140625" customWidth="1"/>
    <col min="11793" max="11795" width="6.28515625" customWidth="1"/>
    <col min="11796" max="11796" width="6.7109375" customWidth="1"/>
    <col min="12032" max="12032" width="6.85546875" customWidth="1"/>
    <col min="12033" max="12033" width="8.42578125" customWidth="1"/>
    <col min="12034" max="12034" width="29.28515625" customWidth="1"/>
    <col min="12035" max="12035" width="7.28515625" customWidth="1"/>
    <col min="12036" max="12036" width="6.85546875" customWidth="1"/>
    <col min="12037" max="12037" width="7.140625" customWidth="1"/>
    <col min="12038" max="12038" width="6.85546875" customWidth="1"/>
    <col min="12039" max="12039" width="7" customWidth="1"/>
    <col min="12040" max="12040" width="7.5703125" customWidth="1"/>
    <col min="12041" max="12041" width="6.7109375" customWidth="1"/>
    <col min="12042" max="12042" width="8.140625" customWidth="1"/>
    <col min="12043" max="12043" width="6.7109375" customWidth="1"/>
    <col min="12044" max="12044" width="6.85546875" customWidth="1"/>
    <col min="12045" max="12045" width="6.140625" customWidth="1"/>
    <col min="12046" max="12046" width="5.140625" customWidth="1"/>
    <col min="12047" max="12047" width="6.28515625" customWidth="1"/>
    <col min="12048" max="12048" width="6.140625" customWidth="1"/>
    <col min="12049" max="12051" width="6.28515625" customWidth="1"/>
    <col min="12052" max="12052" width="6.7109375" customWidth="1"/>
    <col min="12288" max="12288" width="6.85546875" customWidth="1"/>
    <col min="12289" max="12289" width="8.42578125" customWidth="1"/>
    <col min="12290" max="12290" width="29.28515625" customWidth="1"/>
    <col min="12291" max="12291" width="7.28515625" customWidth="1"/>
    <col min="12292" max="12292" width="6.85546875" customWidth="1"/>
    <col min="12293" max="12293" width="7.140625" customWidth="1"/>
    <col min="12294" max="12294" width="6.85546875" customWidth="1"/>
    <col min="12295" max="12295" width="7" customWidth="1"/>
    <col min="12296" max="12296" width="7.5703125" customWidth="1"/>
    <col min="12297" max="12297" width="6.7109375" customWidth="1"/>
    <col min="12298" max="12298" width="8.140625" customWidth="1"/>
    <col min="12299" max="12299" width="6.7109375" customWidth="1"/>
    <col min="12300" max="12300" width="6.85546875" customWidth="1"/>
    <col min="12301" max="12301" width="6.140625" customWidth="1"/>
    <col min="12302" max="12302" width="5.140625" customWidth="1"/>
    <col min="12303" max="12303" width="6.28515625" customWidth="1"/>
    <col min="12304" max="12304" width="6.140625" customWidth="1"/>
    <col min="12305" max="12307" width="6.28515625" customWidth="1"/>
    <col min="12308" max="12308" width="6.7109375" customWidth="1"/>
    <col min="12544" max="12544" width="6.85546875" customWidth="1"/>
    <col min="12545" max="12545" width="8.42578125" customWidth="1"/>
    <col min="12546" max="12546" width="29.28515625" customWidth="1"/>
    <col min="12547" max="12547" width="7.28515625" customWidth="1"/>
    <col min="12548" max="12548" width="6.85546875" customWidth="1"/>
    <col min="12549" max="12549" width="7.140625" customWidth="1"/>
    <col min="12550" max="12550" width="6.85546875" customWidth="1"/>
    <col min="12551" max="12551" width="7" customWidth="1"/>
    <col min="12552" max="12552" width="7.5703125" customWidth="1"/>
    <col min="12553" max="12553" width="6.7109375" customWidth="1"/>
    <col min="12554" max="12554" width="8.140625" customWidth="1"/>
    <col min="12555" max="12555" width="6.7109375" customWidth="1"/>
    <col min="12556" max="12556" width="6.85546875" customWidth="1"/>
    <col min="12557" max="12557" width="6.140625" customWidth="1"/>
    <col min="12558" max="12558" width="5.140625" customWidth="1"/>
    <col min="12559" max="12559" width="6.28515625" customWidth="1"/>
    <col min="12560" max="12560" width="6.140625" customWidth="1"/>
    <col min="12561" max="12563" width="6.28515625" customWidth="1"/>
    <col min="12564" max="12564" width="6.7109375" customWidth="1"/>
    <col min="12800" max="12800" width="6.85546875" customWidth="1"/>
    <col min="12801" max="12801" width="8.42578125" customWidth="1"/>
    <col min="12802" max="12802" width="29.28515625" customWidth="1"/>
    <col min="12803" max="12803" width="7.28515625" customWidth="1"/>
    <col min="12804" max="12804" width="6.85546875" customWidth="1"/>
    <col min="12805" max="12805" width="7.140625" customWidth="1"/>
    <col min="12806" max="12806" width="6.85546875" customWidth="1"/>
    <col min="12807" max="12807" width="7" customWidth="1"/>
    <col min="12808" max="12808" width="7.5703125" customWidth="1"/>
    <col min="12809" max="12809" width="6.7109375" customWidth="1"/>
    <col min="12810" max="12810" width="8.140625" customWidth="1"/>
    <col min="12811" max="12811" width="6.7109375" customWidth="1"/>
    <col min="12812" max="12812" width="6.85546875" customWidth="1"/>
    <col min="12813" max="12813" width="6.140625" customWidth="1"/>
    <col min="12814" max="12814" width="5.140625" customWidth="1"/>
    <col min="12815" max="12815" width="6.28515625" customWidth="1"/>
    <col min="12816" max="12816" width="6.140625" customWidth="1"/>
    <col min="12817" max="12819" width="6.28515625" customWidth="1"/>
    <col min="12820" max="12820" width="6.7109375" customWidth="1"/>
    <col min="13056" max="13056" width="6.85546875" customWidth="1"/>
    <col min="13057" max="13057" width="8.42578125" customWidth="1"/>
    <col min="13058" max="13058" width="29.28515625" customWidth="1"/>
    <col min="13059" max="13059" width="7.28515625" customWidth="1"/>
    <col min="13060" max="13060" width="6.85546875" customWidth="1"/>
    <col min="13061" max="13061" width="7.140625" customWidth="1"/>
    <col min="13062" max="13062" width="6.85546875" customWidth="1"/>
    <col min="13063" max="13063" width="7" customWidth="1"/>
    <col min="13064" max="13064" width="7.5703125" customWidth="1"/>
    <col min="13065" max="13065" width="6.7109375" customWidth="1"/>
    <col min="13066" max="13066" width="8.140625" customWidth="1"/>
    <col min="13067" max="13067" width="6.7109375" customWidth="1"/>
    <col min="13068" max="13068" width="6.85546875" customWidth="1"/>
    <col min="13069" max="13069" width="6.140625" customWidth="1"/>
    <col min="13070" max="13070" width="5.140625" customWidth="1"/>
    <col min="13071" max="13071" width="6.28515625" customWidth="1"/>
    <col min="13072" max="13072" width="6.140625" customWidth="1"/>
    <col min="13073" max="13075" width="6.28515625" customWidth="1"/>
    <col min="13076" max="13076" width="6.7109375" customWidth="1"/>
    <col min="13312" max="13312" width="6.85546875" customWidth="1"/>
    <col min="13313" max="13313" width="8.42578125" customWidth="1"/>
    <col min="13314" max="13314" width="29.28515625" customWidth="1"/>
    <col min="13315" max="13315" width="7.28515625" customWidth="1"/>
    <col min="13316" max="13316" width="6.85546875" customWidth="1"/>
    <col min="13317" max="13317" width="7.140625" customWidth="1"/>
    <col min="13318" max="13318" width="6.85546875" customWidth="1"/>
    <col min="13319" max="13319" width="7" customWidth="1"/>
    <col min="13320" max="13320" width="7.5703125" customWidth="1"/>
    <col min="13321" max="13321" width="6.7109375" customWidth="1"/>
    <col min="13322" max="13322" width="8.140625" customWidth="1"/>
    <col min="13323" max="13323" width="6.7109375" customWidth="1"/>
    <col min="13324" max="13324" width="6.85546875" customWidth="1"/>
    <col min="13325" max="13325" width="6.140625" customWidth="1"/>
    <col min="13326" max="13326" width="5.140625" customWidth="1"/>
    <col min="13327" max="13327" width="6.28515625" customWidth="1"/>
    <col min="13328" max="13328" width="6.140625" customWidth="1"/>
    <col min="13329" max="13331" width="6.28515625" customWidth="1"/>
    <col min="13332" max="13332" width="6.7109375" customWidth="1"/>
    <col min="13568" max="13568" width="6.85546875" customWidth="1"/>
    <col min="13569" max="13569" width="8.42578125" customWidth="1"/>
    <col min="13570" max="13570" width="29.28515625" customWidth="1"/>
    <col min="13571" max="13571" width="7.28515625" customWidth="1"/>
    <col min="13572" max="13572" width="6.85546875" customWidth="1"/>
    <col min="13573" max="13573" width="7.140625" customWidth="1"/>
    <col min="13574" max="13574" width="6.85546875" customWidth="1"/>
    <col min="13575" max="13575" width="7" customWidth="1"/>
    <col min="13576" max="13576" width="7.5703125" customWidth="1"/>
    <col min="13577" max="13577" width="6.7109375" customWidth="1"/>
    <col min="13578" max="13578" width="8.140625" customWidth="1"/>
    <col min="13579" max="13579" width="6.7109375" customWidth="1"/>
    <col min="13580" max="13580" width="6.85546875" customWidth="1"/>
    <col min="13581" max="13581" width="6.140625" customWidth="1"/>
    <col min="13582" max="13582" width="5.140625" customWidth="1"/>
    <col min="13583" max="13583" width="6.28515625" customWidth="1"/>
    <col min="13584" max="13584" width="6.140625" customWidth="1"/>
    <col min="13585" max="13587" width="6.28515625" customWidth="1"/>
    <col min="13588" max="13588" width="6.7109375" customWidth="1"/>
    <col min="13824" max="13824" width="6.85546875" customWidth="1"/>
    <col min="13825" max="13825" width="8.42578125" customWidth="1"/>
    <col min="13826" max="13826" width="29.28515625" customWidth="1"/>
    <col min="13827" max="13827" width="7.28515625" customWidth="1"/>
    <col min="13828" max="13828" width="6.85546875" customWidth="1"/>
    <col min="13829" max="13829" width="7.140625" customWidth="1"/>
    <col min="13830" max="13830" width="6.85546875" customWidth="1"/>
    <col min="13831" max="13831" width="7" customWidth="1"/>
    <col min="13832" max="13832" width="7.5703125" customWidth="1"/>
    <col min="13833" max="13833" width="6.7109375" customWidth="1"/>
    <col min="13834" max="13834" width="8.140625" customWidth="1"/>
    <col min="13835" max="13835" width="6.7109375" customWidth="1"/>
    <col min="13836" max="13836" width="6.85546875" customWidth="1"/>
    <col min="13837" max="13837" width="6.140625" customWidth="1"/>
    <col min="13838" max="13838" width="5.140625" customWidth="1"/>
    <col min="13839" max="13839" width="6.28515625" customWidth="1"/>
    <col min="13840" max="13840" width="6.140625" customWidth="1"/>
    <col min="13841" max="13843" width="6.28515625" customWidth="1"/>
    <col min="13844" max="13844" width="6.7109375" customWidth="1"/>
    <col min="14080" max="14080" width="6.85546875" customWidth="1"/>
    <col min="14081" max="14081" width="8.42578125" customWidth="1"/>
    <col min="14082" max="14082" width="29.28515625" customWidth="1"/>
    <col min="14083" max="14083" width="7.28515625" customWidth="1"/>
    <col min="14084" max="14084" width="6.85546875" customWidth="1"/>
    <col min="14085" max="14085" width="7.140625" customWidth="1"/>
    <col min="14086" max="14086" width="6.85546875" customWidth="1"/>
    <col min="14087" max="14087" width="7" customWidth="1"/>
    <col min="14088" max="14088" width="7.5703125" customWidth="1"/>
    <col min="14089" max="14089" width="6.7109375" customWidth="1"/>
    <col min="14090" max="14090" width="8.140625" customWidth="1"/>
    <col min="14091" max="14091" width="6.7109375" customWidth="1"/>
    <col min="14092" max="14092" width="6.85546875" customWidth="1"/>
    <col min="14093" max="14093" width="6.140625" customWidth="1"/>
    <col min="14094" max="14094" width="5.140625" customWidth="1"/>
    <col min="14095" max="14095" width="6.28515625" customWidth="1"/>
    <col min="14096" max="14096" width="6.140625" customWidth="1"/>
    <col min="14097" max="14099" width="6.28515625" customWidth="1"/>
    <col min="14100" max="14100" width="6.7109375" customWidth="1"/>
    <col min="14336" max="14336" width="6.85546875" customWidth="1"/>
    <col min="14337" max="14337" width="8.42578125" customWidth="1"/>
    <col min="14338" max="14338" width="29.28515625" customWidth="1"/>
    <col min="14339" max="14339" width="7.28515625" customWidth="1"/>
    <col min="14340" max="14340" width="6.85546875" customWidth="1"/>
    <col min="14341" max="14341" width="7.140625" customWidth="1"/>
    <col min="14342" max="14342" width="6.85546875" customWidth="1"/>
    <col min="14343" max="14343" width="7" customWidth="1"/>
    <col min="14344" max="14344" width="7.5703125" customWidth="1"/>
    <col min="14345" max="14345" width="6.7109375" customWidth="1"/>
    <col min="14346" max="14346" width="8.140625" customWidth="1"/>
    <col min="14347" max="14347" width="6.7109375" customWidth="1"/>
    <col min="14348" max="14348" width="6.85546875" customWidth="1"/>
    <col min="14349" max="14349" width="6.140625" customWidth="1"/>
    <col min="14350" max="14350" width="5.140625" customWidth="1"/>
    <col min="14351" max="14351" width="6.28515625" customWidth="1"/>
    <col min="14352" max="14352" width="6.140625" customWidth="1"/>
    <col min="14353" max="14355" width="6.28515625" customWidth="1"/>
    <col min="14356" max="14356" width="6.7109375" customWidth="1"/>
    <col min="14592" max="14592" width="6.85546875" customWidth="1"/>
    <col min="14593" max="14593" width="8.42578125" customWidth="1"/>
    <col min="14594" max="14594" width="29.28515625" customWidth="1"/>
    <col min="14595" max="14595" width="7.28515625" customWidth="1"/>
    <col min="14596" max="14596" width="6.85546875" customWidth="1"/>
    <col min="14597" max="14597" width="7.140625" customWidth="1"/>
    <col min="14598" max="14598" width="6.85546875" customWidth="1"/>
    <col min="14599" max="14599" width="7" customWidth="1"/>
    <col min="14600" max="14600" width="7.5703125" customWidth="1"/>
    <col min="14601" max="14601" width="6.7109375" customWidth="1"/>
    <col min="14602" max="14602" width="8.140625" customWidth="1"/>
    <col min="14603" max="14603" width="6.7109375" customWidth="1"/>
    <col min="14604" max="14604" width="6.85546875" customWidth="1"/>
    <col min="14605" max="14605" width="6.140625" customWidth="1"/>
    <col min="14606" max="14606" width="5.140625" customWidth="1"/>
    <col min="14607" max="14607" width="6.28515625" customWidth="1"/>
    <col min="14608" max="14608" width="6.140625" customWidth="1"/>
    <col min="14609" max="14611" width="6.28515625" customWidth="1"/>
    <col min="14612" max="14612" width="6.7109375" customWidth="1"/>
    <col min="14848" max="14848" width="6.85546875" customWidth="1"/>
    <col min="14849" max="14849" width="8.42578125" customWidth="1"/>
    <col min="14850" max="14850" width="29.28515625" customWidth="1"/>
    <col min="14851" max="14851" width="7.28515625" customWidth="1"/>
    <col min="14852" max="14852" width="6.85546875" customWidth="1"/>
    <col min="14853" max="14853" width="7.140625" customWidth="1"/>
    <col min="14854" max="14854" width="6.85546875" customWidth="1"/>
    <col min="14855" max="14855" width="7" customWidth="1"/>
    <col min="14856" max="14856" width="7.5703125" customWidth="1"/>
    <col min="14857" max="14857" width="6.7109375" customWidth="1"/>
    <col min="14858" max="14858" width="8.140625" customWidth="1"/>
    <col min="14859" max="14859" width="6.7109375" customWidth="1"/>
    <col min="14860" max="14860" width="6.85546875" customWidth="1"/>
    <col min="14861" max="14861" width="6.140625" customWidth="1"/>
    <col min="14862" max="14862" width="5.140625" customWidth="1"/>
    <col min="14863" max="14863" width="6.28515625" customWidth="1"/>
    <col min="14864" max="14864" width="6.140625" customWidth="1"/>
    <col min="14865" max="14867" width="6.28515625" customWidth="1"/>
    <col min="14868" max="14868" width="6.7109375" customWidth="1"/>
    <col min="15104" max="15104" width="6.85546875" customWidth="1"/>
    <col min="15105" max="15105" width="8.42578125" customWidth="1"/>
    <col min="15106" max="15106" width="29.28515625" customWidth="1"/>
    <col min="15107" max="15107" width="7.28515625" customWidth="1"/>
    <col min="15108" max="15108" width="6.85546875" customWidth="1"/>
    <col min="15109" max="15109" width="7.140625" customWidth="1"/>
    <col min="15110" max="15110" width="6.85546875" customWidth="1"/>
    <col min="15111" max="15111" width="7" customWidth="1"/>
    <col min="15112" max="15112" width="7.5703125" customWidth="1"/>
    <col min="15113" max="15113" width="6.7109375" customWidth="1"/>
    <col min="15114" max="15114" width="8.140625" customWidth="1"/>
    <col min="15115" max="15115" width="6.7109375" customWidth="1"/>
    <col min="15116" max="15116" width="6.85546875" customWidth="1"/>
    <col min="15117" max="15117" width="6.140625" customWidth="1"/>
    <col min="15118" max="15118" width="5.140625" customWidth="1"/>
    <col min="15119" max="15119" width="6.28515625" customWidth="1"/>
    <col min="15120" max="15120" width="6.140625" customWidth="1"/>
    <col min="15121" max="15123" width="6.28515625" customWidth="1"/>
    <col min="15124" max="15124" width="6.7109375" customWidth="1"/>
    <col min="15360" max="15360" width="6.85546875" customWidth="1"/>
    <col min="15361" max="15361" width="8.42578125" customWidth="1"/>
    <col min="15362" max="15362" width="29.28515625" customWidth="1"/>
    <col min="15363" max="15363" width="7.28515625" customWidth="1"/>
    <col min="15364" max="15364" width="6.85546875" customWidth="1"/>
    <col min="15365" max="15365" width="7.140625" customWidth="1"/>
    <col min="15366" max="15366" width="6.85546875" customWidth="1"/>
    <col min="15367" max="15367" width="7" customWidth="1"/>
    <col min="15368" max="15368" width="7.5703125" customWidth="1"/>
    <col min="15369" max="15369" width="6.7109375" customWidth="1"/>
    <col min="15370" max="15370" width="8.140625" customWidth="1"/>
    <col min="15371" max="15371" width="6.7109375" customWidth="1"/>
    <col min="15372" max="15372" width="6.85546875" customWidth="1"/>
    <col min="15373" max="15373" width="6.140625" customWidth="1"/>
    <col min="15374" max="15374" width="5.140625" customWidth="1"/>
    <col min="15375" max="15375" width="6.28515625" customWidth="1"/>
    <col min="15376" max="15376" width="6.140625" customWidth="1"/>
    <col min="15377" max="15379" width="6.28515625" customWidth="1"/>
    <col min="15380" max="15380" width="6.7109375" customWidth="1"/>
    <col min="15616" max="15616" width="6.85546875" customWidth="1"/>
    <col min="15617" max="15617" width="8.42578125" customWidth="1"/>
    <col min="15618" max="15618" width="29.28515625" customWidth="1"/>
    <col min="15619" max="15619" width="7.28515625" customWidth="1"/>
    <col min="15620" max="15620" width="6.85546875" customWidth="1"/>
    <col min="15621" max="15621" width="7.140625" customWidth="1"/>
    <col min="15622" max="15622" width="6.85546875" customWidth="1"/>
    <col min="15623" max="15623" width="7" customWidth="1"/>
    <col min="15624" max="15624" width="7.5703125" customWidth="1"/>
    <col min="15625" max="15625" width="6.7109375" customWidth="1"/>
    <col min="15626" max="15626" width="8.140625" customWidth="1"/>
    <col min="15627" max="15627" width="6.7109375" customWidth="1"/>
    <col min="15628" max="15628" width="6.85546875" customWidth="1"/>
    <col min="15629" max="15629" width="6.140625" customWidth="1"/>
    <col min="15630" max="15630" width="5.140625" customWidth="1"/>
    <col min="15631" max="15631" width="6.28515625" customWidth="1"/>
    <col min="15632" max="15632" width="6.140625" customWidth="1"/>
    <col min="15633" max="15635" width="6.28515625" customWidth="1"/>
    <col min="15636" max="15636" width="6.7109375" customWidth="1"/>
    <col min="15872" max="15872" width="6.85546875" customWidth="1"/>
    <col min="15873" max="15873" width="8.42578125" customWidth="1"/>
    <col min="15874" max="15874" width="29.28515625" customWidth="1"/>
    <col min="15875" max="15875" width="7.28515625" customWidth="1"/>
    <col min="15876" max="15876" width="6.85546875" customWidth="1"/>
    <col min="15877" max="15877" width="7.140625" customWidth="1"/>
    <col min="15878" max="15878" width="6.85546875" customWidth="1"/>
    <col min="15879" max="15879" width="7" customWidth="1"/>
    <col min="15880" max="15880" width="7.5703125" customWidth="1"/>
    <col min="15881" max="15881" width="6.7109375" customWidth="1"/>
    <col min="15882" max="15882" width="8.140625" customWidth="1"/>
    <col min="15883" max="15883" width="6.7109375" customWidth="1"/>
    <col min="15884" max="15884" width="6.85546875" customWidth="1"/>
    <col min="15885" max="15885" width="6.140625" customWidth="1"/>
    <col min="15886" max="15886" width="5.140625" customWidth="1"/>
    <col min="15887" max="15887" width="6.28515625" customWidth="1"/>
    <col min="15888" max="15888" width="6.140625" customWidth="1"/>
    <col min="15889" max="15891" width="6.28515625" customWidth="1"/>
    <col min="15892" max="15892" width="6.7109375" customWidth="1"/>
    <col min="16128" max="16128" width="6.85546875" customWidth="1"/>
    <col min="16129" max="16129" width="8.42578125" customWidth="1"/>
    <col min="16130" max="16130" width="29.28515625" customWidth="1"/>
    <col min="16131" max="16131" width="7.28515625" customWidth="1"/>
    <col min="16132" max="16132" width="6.85546875" customWidth="1"/>
    <col min="16133" max="16133" width="7.140625" customWidth="1"/>
    <col min="16134" max="16134" width="6.85546875" customWidth="1"/>
    <col min="16135" max="16135" width="7" customWidth="1"/>
    <col min="16136" max="16136" width="7.5703125" customWidth="1"/>
    <col min="16137" max="16137" width="6.7109375" customWidth="1"/>
    <col min="16138" max="16138" width="8.140625" customWidth="1"/>
    <col min="16139" max="16139" width="6.7109375" customWidth="1"/>
    <col min="16140" max="16140" width="6.85546875" customWidth="1"/>
    <col min="16141" max="16141" width="6.140625" customWidth="1"/>
    <col min="16142" max="16142" width="5.140625" customWidth="1"/>
    <col min="16143" max="16143" width="6.28515625" customWidth="1"/>
    <col min="16144" max="16144" width="6.140625" customWidth="1"/>
    <col min="16145" max="16147" width="6.28515625" customWidth="1"/>
    <col min="16148" max="16148" width="6.7109375" customWidth="1"/>
  </cols>
  <sheetData>
    <row r="1" spans="1:20" ht="38.25" customHeight="1" x14ac:dyDescent="0.2">
      <c r="A1" s="341" t="s">
        <v>7</v>
      </c>
      <c r="B1" s="336" t="s">
        <v>8</v>
      </c>
      <c r="C1" s="336" t="s">
        <v>9</v>
      </c>
      <c r="D1" s="336" t="s">
        <v>10</v>
      </c>
      <c r="E1" s="336" t="s">
        <v>11</v>
      </c>
      <c r="F1" s="336" t="s">
        <v>12</v>
      </c>
      <c r="G1" s="332" t="s">
        <v>13</v>
      </c>
      <c r="H1" s="332" t="s">
        <v>14</v>
      </c>
      <c r="I1" s="334" t="s">
        <v>26</v>
      </c>
      <c r="J1" s="334"/>
      <c r="K1" s="334"/>
      <c r="L1" s="334"/>
      <c r="M1" s="334"/>
      <c r="N1" s="335" t="s">
        <v>27</v>
      </c>
      <c r="O1" s="335"/>
      <c r="P1" s="335"/>
      <c r="Q1" s="335"/>
      <c r="R1" s="335"/>
      <c r="S1" s="335"/>
      <c r="T1" s="335"/>
    </row>
    <row r="2" spans="1:20" ht="26.25" thickBot="1" x14ac:dyDescent="0.25">
      <c r="A2" s="342"/>
      <c r="B2" s="337"/>
      <c r="C2" s="337"/>
      <c r="D2" s="337"/>
      <c r="E2" s="337"/>
      <c r="F2" s="337"/>
      <c r="G2" s="333"/>
      <c r="H2" s="333"/>
      <c r="I2" s="260" t="s">
        <v>28</v>
      </c>
      <c r="J2" s="260" t="s">
        <v>15</v>
      </c>
      <c r="K2" s="260" t="s">
        <v>16</v>
      </c>
      <c r="L2" s="260" t="s">
        <v>17</v>
      </c>
      <c r="M2" s="260" t="s">
        <v>18</v>
      </c>
      <c r="N2" s="260" t="s">
        <v>19</v>
      </c>
      <c r="O2" s="260" t="s">
        <v>20</v>
      </c>
      <c r="P2" s="260" t="s">
        <v>21</v>
      </c>
      <c r="Q2" s="260" t="s">
        <v>22</v>
      </c>
      <c r="R2" s="261" t="s">
        <v>23</v>
      </c>
      <c r="S2" s="262" t="s">
        <v>150</v>
      </c>
      <c r="T2" s="261" t="s">
        <v>83</v>
      </c>
    </row>
    <row r="3" spans="1:20" x14ac:dyDescent="0.2">
      <c r="A3" s="218"/>
      <c r="B3" s="263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0" ht="25.5" x14ac:dyDescent="0.2">
      <c r="A4" s="264" t="s">
        <v>165</v>
      </c>
      <c r="B4" s="28" t="s">
        <v>166</v>
      </c>
      <c r="C4" s="31"/>
      <c r="D4" s="29">
        <v>100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x14ac:dyDescent="0.2">
      <c r="A5" s="264" t="s">
        <v>167</v>
      </c>
      <c r="B5" s="265" t="s">
        <v>168</v>
      </c>
      <c r="C5" s="31"/>
      <c r="D5" s="266">
        <v>64</v>
      </c>
      <c r="E5" s="31"/>
      <c r="F5" s="31"/>
      <c r="G5" s="33"/>
      <c r="H5" s="3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x14ac:dyDescent="0.2">
      <c r="A6" s="264"/>
      <c r="B6" s="30" t="s">
        <v>169</v>
      </c>
      <c r="C6" s="31">
        <v>42.9</v>
      </c>
      <c r="D6" s="31">
        <v>42.9</v>
      </c>
      <c r="E6" s="31">
        <v>4.37</v>
      </c>
      <c r="F6" s="31">
        <v>0.38</v>
      </c>
      <c r="G6" s="33">
        <v>31.2</v>
      </c>
      <c r="H6" s="33">
        <v>137.30000000000001</v>
      </c>
      <c r="I6" s="31">
        <v>75.7</v>
      </c>
      <c r="J6" s="31">
        <v>10.3</v>
      </c>
      <c r="K6" s="31">
        <v>19</v>
      </c>
      <c r="L6" s="31">
        <v>49.5</v>
      </c>
      <c r="M6" s="31">
        <v>0.9</v>
      </c>
      <c r="N6" s="31">
        <v>0</v>
      </c>
      <c r="O6" s="31">
        <v>0</v>
      </c>
      <c r="P6" s="31">
        <v>0</v>
      </c>
      <c r="Q6" s="31">
        <v>0.52</v>
      </c>
      <c r="R6" s="31">
        <v>0</v>
      </c>
      <c r="S6" s="31"/>
      <c r="T6" s="31"/>
    </row>
    <row r="7" spans="1:20" x14ac:dyDescent="0.2">
      <c r="A7" s="264"/>
      <c r="B7" s="30" t="s">
        <v>170</v>
      </c>
      <c r="C7" s="31">
        <v>6.4</v>
      </c>
      <c r="D7" s="31">
        <v>6.4</v>
      </c>
      <c r="E7" s="31">
        <v>0.8</v>
      </c>
      <c r="F7" s="31">
        <v>0.74</v>
      </c>
      <c r="G7" s="33">
        <v>0.04</v>
      </c>
      <c r="H7" s="33">
        <v>10</v>
      </c>
      <c r="I7" s="31">
        <v>9</v>
      </c>
      <c r="J7" s="31">
        <v>3.5</v>
      </c>
      <c r="K7" s="31">
        <v>0.8</v>
      </c>
      <c r="L7" s="31">
        <v>12.3</v>
      </c>
      <c r="M7" s="31">
        <v>0.16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/>
      <c r="T7" s="31"/>
    </row>
    <row r="8" spans="1:20" x14ac:dyDescent="0.2">
      <c r="A8" s="264"/>
      <c r="B8" s="30" t="s">
        <v>171</v>
      </c>
      <c r="C8" s="31">
        <v>4.4000000000000004</v>
      </c>
      <c r="D8" s="31">
        <v>4.4000000000000004</v>
      </c>
      <c r="E8" s="31">
        <v>1.4E-2</v>
      </c>
      <c r="F8" s="31">
        <v>3.9</v>
      </c>
      <c r="G8" s="33">
        <v>0.05</v>
      </c>
      <c r="H8" s="33">
        <v>35.549999999999997</v>
      </c>
      <c r="I8" s="31">
        <v>0.8</v>
      </c>
      <c r="J8" s="31">
        <v>0.9</v>
      </c>
      <c r="K8" s="31">
        <v>0.1</v>
      </c>
      <c r="L8" s="31">
        <v>0.8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/>
      <c r="T8" s="31"/>
    </row>
    <row r="9" spans="1:20" x14ac:dyDescent="0.2">
      <c r="A9" s="264"/>
      <c r="B9" s="30" t="s">
        <v>172</v>
      </c>
      <c r="C9" s="31">
        <v>0.37</v>
      </c>
      <c r="D9" s="31">
        <v>0.37</v>
      </c>
      <c r="E9" s="31">
        <v>0.1</v>
      </c>
      <c r="F9" s="31">
        <v>0.05</v>
      </c>
      <c r="G9" s="33">
        <v>0</v>
      </c>
      <c r="H9" s="33">
        <v>8.1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/>
      <c r="T9" s="31"/>
    </row>
    <row r="10" spans="1:20" x14ac:dyDescent="0.2">
      <c r="A10" s="264"/>
      <c r="B10" s="30" t="s">
        <v>35</v>
      </c>
      <c r="C10" s="31">
        <v>11</v>
      </c>
      <c r="D10" s="31">
        <v>11</v>
      </c>
      <c r="E10" s="31">
        <v>0</v>
      </c>
      <c r="F10" s="31">
        <v>0</v>
      </c>
      <c r="G10" s="33">
        <v>0</v>
      </c>
      <c r="H10" s="33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/>
      <c r="T10" s="31"/>
    </row>
    <row r="11" spans="1:20" x14ac:dyDescent="0.2">
      <c r="A11" s="264"/>
      <c r="B11" s="30" t="s">
        <v>46</v>
      </c>
      <c r="C11" s="31">
        <v>0.5</v>
      </c>
      <c r="D11" s="31">
        <v>0.5</v>
      </c>
      <c r="E11" s="31">
        <v>0</v>
      </c>
      <c r="F11" s="31">
        <v>0</v>
      </c>
      <c r="G11" s="33">
        <v>0</v>
      </c>
      <c r="H11" s="33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/>
      <c r="T11" s="31"/>
    </row>
    <row r="12" spans="1:20" ht="26.25" customHeight="1" x14ac:dyDescent="0.2">
      <c r="A12" s="264"/>
      <c r="B12" s="30" t="s">
        <v>34</v>
      </c>
      <c r="C12" s="31">
        <v>0.35</v>
      </c>
      <c r="D12" s="31">
        <v>0.35</v>
      </c>
      <c r="E12" s="31">
        <v>0</v>
      </c>
      <c r="F12" s="31">
        <v>0.35</v>
      </c>
      <c r="G12" s="31">
        <v>0</v>
      </c>
      <c r="H12" s="31">
        <v>3.15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/>
      <c r="T12" s="31"/>
    </row>
    <row r="13" spans="1:20" ht="11.25" customHeight="1" x14ac:dyDescent="0.2">
      <c r="A13" s="264"/>
      <c r="B13" s="30" t="s">
        <v>173</v>
      </c>
      <c r="C13" s="31">
        <v>2.9</v>
      </c>
      <c r="D13" s="31">
        <v>2.9</v>
      </c>
      <c r="E13" s="31">
        <v>0</v>
      </c>
      <c r="F13" s="31">
        <v>0</v>
      </c>
      <c r="G13" s="31">
        <v>3.3</v>
      </c>
      <c r="H13" s="31">
        <v>11.05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/>
      <c r="T13" s="31"/>
    </row>
    <row r="14" spans="1:20" x14ac:dyDescent="0.2">
      <c r="A14" s="125"/>
      <c r="B14" s="265" t="s">
        <v>174</v>
      </c>
      <c r="C14" s="31">
        <v>45.45</v>
      </c>
      <c r="D14" s="31">
        <v>45</v>
      </c>
      <c r="E14" s="31">
        <v>0.18</v>
      </c>
      <c r="F14" s="31">
        <v>0</v>
      </c>
      <c r="G14" s="31">
        <v>29.3</v>
      </c>
      <c r="H14" s="31">
        <v>112.5</v>
      </c>
      <c r="I14" s="31">
        <v>58</v>
      </c>
      <c r="J14" s="31">
        <v>6.3</v>
      </c>
      <c r="K14" s="31">
        <v>3.2</v>
      </c>
      <c r="L14" s="31">
        <v>4</v>
      </c>
      <c r="M14" s="31">
        <v>0.6</v>
      </c>
      <c r="N14" s="31">
        <v>0</v>
      </c>
      <c r="O14" s="31">
        <v>0</v>
      </c>
      <c r="P14" s="31">
        <v>0</v>
      </c>
      <c r="Q14" s="31">
        <v>0</v>
      </c>
      <c r="R14" s="31">
        <v>0.22</v>
      </c>
      <c r="S14" s="31"/>
      <c r="T14" s="31"/>
    </row>
    <row r="15" spans="1:20" s="26" customFormat="1" x14ac:dyDescent="0.2">
      <c r="A15" s="55"/>
      <c r="B15" s="3" t="s">
        <v>77</v>
      </c>
      <c r="C15" s="3"/>
      <c r="D15" s="3"/>
      <c r="E15" s="3">
        <f>SUM(E6:E14)</f>
        <v>5.4639999999999995</v>
      </c>
      <c r="F15" s="3">
        <f t="shared" ref="F15:Q15" si="0">SUM(F6:F14)</f>
        <v>5.419999999999999</v>
      </c>
      <c r="G15" s="3">
        <f t="shared" si="0"/>
        <v>63.89</v>
      </c>
      <c r="H15" s="3">
        <f t="shared" si="0"/>
        <v>317.65000000000003</v>
      </c>
      <c r="I15" s="3">
        <f t="shared" si="0"/>
        <v>143.5</v>
      </c>
      <c r="J15" s="3">
        <f t="shared" si="0"/>
        <v>21</v>
      </c>
      <c r="K15" s="3">
        <f t="shared" si="0"/>
        <v>23.1</v>
      </c>
      <c r="L15" s="3">
        <f t="shared" si="0"/>
        <v>66.599999999999994</v>
      </c>
      <c r="M15" s="3">
        <f t="shared" si="0"/>
        <v>1.6600000000000001</v>
      </c>
      <c r="N15" s="3">
        <f t="shared" si="0"/>
        <v>0</v>
      </c>
      <c r="O15" s="3">
        <f t="shared" si="0"/>
        <v>0</v>
      </c>
      <c r="P15" s="3">
        <f t="shared" si="0"/>
        <v>0</v>
      </c>
      <c r="Q15" s="3">
        <f t="shared" si="0"/>
        <v>0.52</v>
      </c>
      <c r="R15" s="3">
        <f>SUM(R6:R14)</f>
        <v>0.22</v>
      </c>
      <c r="S15" s="3"/>
      <c r="T15" s="3"/>
    </row>
    <row r="16" spans="1:20" x14ac:dyDescent="0.2">
      <c r="A16" s="338" t="s">
        <v>175</v>
      </c>
      <c r="B16" s="29" t="s">
        <v>176</v>
      </c>
      <c r="C16" s="267" t="s">
        <v>177</v>
      </c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</row>
    <row r="17" spans="1:20" x14ac:dyDescent="0.2">
      <c r="A17" s="339"/>
      <c r="B17" s="31" t="s">
        <v>178</v>
      </c>
      <c r="C17" s="31">
        <v>50</v>
      </c>
      <c r="D17" s="31">
        <v>50</v>
      </c>
      <c r="E17" s="31">
        <v>0.1</v>
      </c>
      <c r="F17" s="31">
        <v>0</v>
      </c>
      <c r="G17" s="31">
        <v>0</v>
      </c>
      <c r="H17" s="31">
        <v>0.8</v>
      </c>
      <c r="I17" s="31">
        <v>12.4</v>
      </c>
      <c r="J17" s="31">
        <v>2.5</v>
      </c>
      <c r="K17" s="31">
        <v>2.2000000000000002</v>
      </c>
      <c r="L17" s="31">
        <v>4.0999999999999996</v>
      </c>
      <c r="M17" s="31">
        <v>0.4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/>
      <c r="T17" s="31"/>
    </row>
    <row r="18" spans="1:20" x14ac:dyDescent="0.2">
      <c r="A18" s="31"/>
      <c r="B18" s="31" t="s">
        <v>30</v>
      </c>
      <c r="C18" s="31">
        <v>15</v>
      </c>
      <c r="D18" s="31">
        <v>15</v>
      </c>
      <c r="E18" s="31">
        <v>0</v>
      </c>
      <c r="F18" s="31">
        <v>0</v>
      </c>
      <c r="G18" s="31">
        <v>15</v>
      </c>
      <c r="H18" s="31">
        <v>56.8</v>
      </c>
      <c r="I18" s="31">
        <v>0.5</v>
      </c>
      <c r="J18" s="31">
        <v>0.4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/>
      <c r="T18" s="31"/>
    </row>
    <row r="19" spans="1:20" x14ac:dyDescent="0.2">
      <c r="A19" s="31"/>
      <c r="B19" s="31" t="s">
        <v>179</v>
      </c>
      <c r="C19" s="31">
        <v>8</v>
      </c>
      <c r="D19" s="31">
        <v>7</v>
      </c>
      <c r="E19" s="31">
        <v>0</v>
      </c>
      <c r="F19" s="31">
        <v>0</v>
      </c>
      <c r="G19" s="31">
        <v>0.2</v>
      </c>
      <c r="H19" s="31">
        <v>2.4</v>
      </c>
      <c r="I19" s="31">
        <v>11.4</v>
      </c>
      <c r="J19" s="31">
        <v>2.8</v>
      </c>
      <c r="K19" s="31">
        <v>0.8</v>
      </c>
      <c r="L19" s="31">
        <v>1.5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2.8</v>
      </c>
      <c r="S19" s="31"/>
      <c r="T19" s="31"/>
    </row>
    <row r="20" spans="1:20" x14ac:dyDescent="0.2">
      <c r="A20" s="31"/>
      <c r="B20" s="31" t="s">
        <v>35</v>
      </c>
      <c r="C20" s="31">
        <v>150</v>
      </c>
      <c r="D20" s="31">
        <v>150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/>
      <c r="T20" s="31"/>
    </row>
    <row r="21" spans="1:20" s="26" customFormat="1" x14ac:dyDescent="0.2">
      <c r="A21" s="29"/>
      <c r="B21" s="29" t="s">
        <v>77</v>
      </c>
      <c r="C21" s="29"/>
      <c r="D21" s="29"/>
      <c r="E21" s="29">
        <f>SUM(E17:E20)</f>
        <v>0.1</v>
      </c>
      <c r="F21" s="29">
        <f t="shared" ref="F21:Q21" si="1">SUM(F17:F20)</f>
        <v>0</v>
      </c>
      <c r="G21" s="29">
        <f t="shared" si="1"/>
        <v>15.2</v>
      </c>
      <c r="H21" s="29">
        <f t="shared" si="1"/>
        <v>59.999999999999993</v>
      </c>
      <c r="I21" s="29">
        <f t="shared" si="1"/>
        <v>24.3</v>
      </c>
      <c r="J21" s="29">
        <f t="shared" si="1"/>
        <v>5.6999999999999993</v>
      </c>
      <c r="K21" s="29">
        <f t="shared" si="1"/>
        <v>3</v>
      </c>
      <c r="L21" s="29">
        <f t="shared" si="1"/>
        <v>5.6</v>
      </c>
      <c r="M21" s="29">
        <f t="shared" si="1"/>
        <v>0.4</v>
      </c>
      <c r="N21" s="29">
        <f t="shared" si="1"/>
        <v>0</v>
      </c>
      <c r="O21" s="29">
        <f t="shared" si="1"/>
        <v>0</v>
      </c>
      <c r="P21" s="29">
        <f t="shared" si="1"/>
        <v>0</v>
      </c>
      <c r="Q21" s="29">
        <f t="shared" si="1"/>
        <v>0</v>
      </c>
      <c r="R21" s="29">
        <f>SUM(R17:R20)</f>
        <v>2.8</v>
      </c>
      <c r="S21" s="29"/>
      <c r="T21" s="29"/>
    </row>
    <row r="22" spans="1:20" s="231" customFormat="1" x14ac:dyDescent="0.2">
      <c r="A22" s="271"/>
      <c r="B22" s="272" t="s">
        <v>164</v>
      </c>
      <c r="C22" s="273"/>
      <c r="D22" s="272"/>
      <c r="E22" s="272">
        <f>E21+E15</f>
        <v>5.5639999999999992</v>
      </c>
      <c r="F22" s="272">
        <f t="shared" ref="F22:Q22" si="2">F21+F15</f>
        <v>5.419999999999999</v>
      </c>
      <c r="G22" s="272">
        <f t="shared" si="2"/>
        <v>79.09</v>
      </c>
      <c r="H22" s="272">
        <f t="shared" si="2"/>
        <v>377.65000000000003</v>
      </c>
      <c r="I22" s="272">
        <f t="shared" si="2"/>
        <v>167.8</v>
      </c>
      <c r="J22" s="272">
        <f t="shared" si="2"/>
        <v>26.7</v>
      </c>
      <c r="K22" s="272">
        <f t="shared" si="2"/>
        <v>26.1</v>
      </c>
      <c r="L22" s="272">
        <f t="shared" si="2"/>
        <v>72.199999999999989</v>
      </c>
      <c r="M22" s="272">
        <f t="shared" si="2"/>
        <v>2.06</v>
      </c>
      <c r="N22" s="272">
        <f t="shared" si="2"/>
        <v>0</v>
      </c>
      <c r="O22" s="272">
        <f t="shared" si="2"/>
        <v>0</v>
      </c>
      <c r="P22" s="272">
        <f t="shared" si="2"/>
        <v>0</v>
      </c>
      <c r="Q22" s="272">
        <f t="shared" si="2"/>
        <v>0.52</v>
      </c>
      <c r="R22" s="272">
        <f>R21+R15</f>
        <v>3.02</v>
      </c>
      <c r="S22" s="272"/>
      <c r="T22" s="272"/>
    </row>
    <row r="23" spans="1:20" x14ac:dyDescent="0.2">
      <c r="A23" s="271"/>
      <c r="B23" s="274"/>
      <c r="C23" s="273"/>
      <c r="D23" s="272"/>
      <c r="E23" s="275"/>
      <c r="F23" s="275"/>
      <c r="G23" s="275"/>
      <c r="H23" s="275"/>
      <c r="I23" s="276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</row>
    <row r="24" spans="1:20" x14ac:dyDescent="0.2">
      <c r="A24" s="271"/>
      <c r="B24" s="277" t="s">
        <v>3</v>
      </c>
      <c r="C24" s="273"/>
      <c r="D24" s="272"/>
      <c r="E24" s="273"/>
      <c r="F24" s="273"/>
      <c r="G24" s="273"/>
      <c r="H24" s="273"/>
      <c r="I24" s="278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</row>
    <row r="25" spans="1:20" x14ac:dyDescent="0.2">
      <c r="A25" s="279" t="s">
        <v>180</v>
      </c>
      <c r="B25" s="280" t="s">
        <v>181</v>
      </c>
      <c r="C25" s="273"/>
      <c r="D25" s="272">
        <v>100</v>
      </c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</row>
    <row r="26" spans="1:20" x14ac:dyDescent="0.2">
      <c r="A26" s="271"/>
      <c r="B26" s="281" t="s">
        <v>38</v>
      </c>
      <c r="C26" s="282">
        <v>67.400000000000006</v>
      </c>
      <c r="D26" s="283">
        <v>67.400000000000006</v>
      </c>
      <c r="E26" s="273">
        <v>6.9</v>
      </c>
      <c r="F26" s="273">
        <v>0.7</v>
      </c>
      <c r="G26" s="273">
        <v>46.5</v>
      </c>
      <c r="H26" s="273">
        <v>225.1</v>
      </c>
      <c r="I26" s="278">
        <v>118.6</v>
      </c>
      <c r="J26" s="273">
        <v>16.2</v>
      </c>
      <c r="K26" s="273">
        <v>29.7</v>
      </c>
      <c r="L26" s="284">
        <v>77.5</v>
      </c>
      <c r="M26" s="273">
        <v>1.4</v>
      </c>
      <c r="N26" s="273">
        <v>0</v>
      </c>
      <c r="O26" s="273">
        <v>0.1</v>
      </c>
      <c r="P26" s="273">
        <v>0</v>
      </c>
      <c r="Q26" s="273">
        <v>0.8</v>
      </c>
      <c r="R26" s="273">
        <v>0</v>
      </c>
      <c r="S26" s="273"/>
      <c r="T26" s="273"/>
    </row>
    <row r="27" spans="1:20" x14ac:dyDescent="0.2">
      <c r="A27" s="271"/>
      <c r="B27" s="281" t="s">
        <v>30</v>
      </c>
      <c r="C27" s="282">
        <v>14.2</v>
      </c>
      <c r="D27" s="283">
        <v>14.2</v>
      </c>
      <c r="E27" s="273">
        <v>0</v>
      </c>
      <c r="F27" s="273">
        <v>0</v>
      </c>
      <c r="G27" s="273">
        <v>14.1</v>
      </c>
      <c r="H27" s="273">
        <v>55.8</v>
      </c>
      <c r="I27" s="278">
        <v>0.42</v>
      </c>
      <c r="J27" s="273">
        <v>0.4</v>
      </c>
      <c r="K27" s="273">
        <v>0</v>
      </c>
      <c r="L27" s="284">
        <v>0</v>
      </c>
      <c r="M27" s="273">
        <v>0</v>
      </c>
      <c r="N27" s="273">
        <v>0</v>
      </c>
      <c r="O27" s="273">
        <v>0</v>
      </c>
      <c r="P27" s="273">
        <v>0</v>
      </c>
      <c r="Q27" s="273">
        <v>0</v>
      </c>
      <c r="R27" s="273">
        <v>0</v>
      </c>
      <c r="S27" s="273"/>
      <c r="T27" s="273"/>
    </row>
    <row r="28" spans="1:20" x14ac:dyDescent="0.2">
      <c r="A28" s="271"/>
      <c r="B28" s="281" t="s">
        <v>171</v>
      </c>
      <c r="C28" s="282">
        <v>15</v>
      </c>
      <c r="D28" s="283">
        <v>15</v>
      </c>
      <c r="E28" s="273">
        <v>0.1</v>
      </c>
      <c r="F28" s="273">
        <v>10.7</v>
      </c>
      <c r="G28" s="273">
        <v>0.19</v>
      </c>
      <c r="H28" s="273">
        <v>97.8</v>
      </c>
      <c r="I28" s="278">
        <v>3.4</v>
      </c>
      <c r="J28" s="273">
        <v>3.3</v>
      </c>
      <c r="K28" s="273">
        <v>0.44</v>
      </c>
      <c r="L28" s="284">
        <v>2.8</v>
      </c>
      <c r="M28" s="273">
        <v>0</v>
      </c>
      <c r="N28" s="273">
        <v>0</v>
      </c>
      <c r="O28" s="273">
        <v>0</v>
      </c>
      <c r="P28" s="273">
        <v>0</v>
      </c>
      <c r="Q28" s="273">
        <v>0</v>
      </c>
      <c r="R28" s="273">
        <v>0</v>
      </c>
      <c r="S28" s="273"/>
      <c r="T28" s="273"/>
    </row>
    <row r="29" spans="1:20" x14ac:dyDescent="0.2">
      <c r="A29" s="271"/>
      <c r="B29" s="281" t="s">
        <v>182</v>
      </c>
      <c r="C29" s="282">
        <v>2</v>
      </c>
      <c r="D29" s="283">
        <v>2</v>
      </c>
      <c r="E29" s="273">
        <v>0.24</v>
      </c>
      <c r="F29" s="273">
        <v>0.21</v>
      </c>
      <c r="G29" s="273">
        <v>0</v>
      </c>
      <c r="H29" s="273">
        <v>3</v>
      </c>
      <c r="I29" s="278">
        <v>2.7</v>
      </c>
      <c r="J29" s="273">
        <v>1</v>
      </c>
      <c r="K29" s="273">
        <v>0.23</v>
      </c>
      <c r="L29" s="285">
        <v>3.6</v>
      </c>
      <c r="M29" s="273">
        <v>0</v>
      </c>
      <c r="N29" s="273">
        <v>0</v>
      </c>
      <c r="O29" s="273">
        <v>0</v>
      </c>
      <c r="P29" s="273">
        <v>0</v>
      </c>
      <c r="Q29" s="273">
        <v>0</v>
      </c>
      <c r="R29" s="273">
        <v>0</v>
      </c>
      <c r="S29" s="273"/>
      <c r="T29" s="273"/>
    </row>
    <row r="30" spans="1:20" x14ac:dyDescent="0.2">
      <c r="A30" s="271"/>
      <c r="B30" s="281" t="s">
        <v>46</v>
      </c>
      <c r="C30" s="282">
        <v>0.6</v>
      </c>
      <c r="D30" s="283">
        <v>0.6</v>
      </c>
      <c r="E30" s="273">
        <v>0</v>
      </c>
      <c r="F30" s="273">
        <v>0</v>
      </c>
      <c r="G30" s="273">
        <v>0</v>
      </c>
      <c r="H30" s="273">
        <v>0</v>
      </c>
      <c r="I30" s="278">
        <v>0</v>
      </c>
      <c r="J30" s="273">
        <v>0</v>
      </c>
      <c r="K30" s="273">
        <v>0</v>
      </c>
      <c r="L30" s="284">
        <v>0</v>
      </c>
      <c r="M30" s="273">
        <v>0</v>
      </c>
      <c r="N30" s="273">
        <v>0</v>
      </c>
      <c r="O30" s="273">
        <v>0</v>
      </c>
      <c r="P30" s="273">
        <v>0</v>
      </c>
      <c r="Q30" s="273">
        <v>0</v>
      </c>
      <c r="R30" s="273">
        <v>0</v>
      </c>
      <c r="S30" s="273"/>
      <c r="T30" s="273"/>
    </row>
    <row r="31" spans="1:20" x14ac:dyDescent="0.2">
      <c r="A31" s="271"/>
      <c r="B31" s="281" t="s">
        <v>172</v>
      </c>
      <c r="C31" s="282">
        <v>0.4</v>
      </c>
      <c r="D31" s="283">
        <v>0.4</v>
      </c>
      <c r="E31" s="273">
        <v>0.1</v>
      </c>
      <c r="F31" s="273">
        <v>0.05</v>
      </c>
      <c r="G31" s="273">
        <v>0</v>
      </c>
      <c r="H31" s="273">
        <v>8.1</v>
      </c>
      <c r="I31" s="273">
        <v>0</v>
      </c>
      <c r="J31" s="273">
        <v>0</v>
      </c>
      <c r="K31" s="273">
        <v>0</v>
      </c>
      <c r="L31" s="273">
        <v>0</v>
      </c>
      <c r="M31" s="273">
        <v>0</v>
      </c>
      <c r="N31" s="273">
        <v>0</v>
      </c>
      <c r="O31" s="273">
        <v>0</v>
      </c>
      <c r="P31" s="273">
        <v>0</v>
      </c>
      <c r="Q31" s="273">
        <v>0</v>
      </c>
      <c r="R31" s="273">
        <v>0</v>
      </c>
      <c r="S31" s="273"/>
      <c r="T31" s="273"/>
    </row>
    <row r="32" spans="1:20" x14ac:dyDescent="0.2">
      <c r="A32" s="271"/>
      <c r="B32" s="281" t="s">
        <v>35</v>
      </c>
      <c r="C32" s="282">
        <v>29</v>
      </c>
      <c r="D32" s="283">
        <v>29</v>
      </c>
      <c r="E32" s="273">
        <v>0</v>
      </c>
      <c r="F32" s="273">
        <v>0</v>
      </c>
      <c r="G32" s="273">
        <v>0</v>
      </c>
      <c r="H32" s="273">
        <v>0</v>
      </c>
      <c r="I32" s="273">
        <v>0</v>
      </c>
      <c r="J32" s="273">
        <v>0</v>
      </c>
      <c r="K32" s="273">
        <v>0</v>
      </c>
      <c r="L32" s="273">
        <v>0</v>
      </c>
      <c r="M32" s="273">
        <v>0</v>
      </c>
      <c r="N32" s="273">
        <v>0</v>
      </c>
      <c r="O32" s="273">
        <v>0</v>
      </c>
      <c r="P32" s="273">
        <v>0</v>
      </c>
      <c r="Q32" s="273">
        <v>0</v>
      </c>
      <c r="R32" s="273">
        <v>0</v>
      </c>
      <c r="S32" s="273"/>
      <c r="T32" s="273"/>
    </row>
    <row r="33" spans="1:20" s="26" customFormat="1" x14ac:dyDescent="0.2">
      <c r="A33" s="271"/>
      <c r="B33" s="274" t="s">
        <v>77</v>
      </c>
      <c r="C33" s="277"/>
      <c r="D33" s="280"/>
      <c r="E33" s="272">
        <f>SUM(E26:E32)</f>
        <v>7.34</v>
      </c>
      <c r="F33" s="272">
        <f t="shared" ref="F33:Q33" si="3">SUM(F26:F32)</f>
        <v>11.66</v>
      </c>
      <c r="G33" s="272">
        <f t="shared" si="3"/>
        <v>60.79</v>
      </c>
      <c r="H33" s="272">
        <f t="shared" si="3"/>
        <v>389.8</v>
      </c>
      <c r="I33" s="272">
        <f t="shared" si="3"/>
        <v>125.12</v>
      </c>
      <c r="J33" s="272">
        <f t="shared" si="3"/>
        <v>20.9</v>
      </c>
      <c r="K33" s="272">
        <f t="shared" si="3"/>
        <v>30.37</v>
      </c>
      <c r="L33" s="272">
        <f t="shared" si="3"/>
        <v>83.899999999999991</v>
      </c>
      <c r="M33" s="272">
        <f t="shared" si="3"/>
        <v>1.4</v>
      </c>
      <c r="N33" s="272">
        <f t="shared" si="3"/>
        <v>0</v>
      </c>
      <c r="O33" s="272">
        <f t="shared" si="3"/>
        <v>0.1</v>
      </c>
      <c r="P33" s="272">
        <f t="shared" si="3"/>
        <v>0</v>
      </c>
      <c r="Q33" s="272">
        <f t="shared" si="3"/>
        <v>0.8</v>
      </c>
      <c r="R33" s="272">
        <f>SUM(R26:R32)</f>
        <v>0</v>
      </c>
      <c r="S33" s="272"/>
      <c r="T33" s="272"/>
    </row>
    <row r="34" spans="1:20" x14ac:dyDescent="0.2">
      <c r="A34" s="286" t="s">
        <v>183</v>
      </c>
      <c r="B34" s="287" t="s">
        <v>184</v>
      </c>
      <c r="C34" s="288">
        <v>206</v>
      </c>
      <c r="D34" s="258">
        <v>200</v>
      </c>
      <c r="E34" s="258">
        <v>5.6</v>
      </c>
      <c r="F34" s="258">
        <v>6.4</v>
      </c>
      <c r="G34" s="258">
        <v>8.1999999999999993</v>
      </c>
      <c r="H34" s="258">
        <v>118</v>
      </c>
      <c r="I34" s="258">
        <v>300</v>
      </c>
      <c r="J34" s="258">
        <v>240</v>
      </c>
      <c r="K34" s="258">
        <v>28</v>
      </c>
      <c r="L34" s="258">
        <v>190</v>
      </c>
      <c r="M34" s="258">
        <v>0.2</v>
      </c>
      <c r="N34" s="258">
        <v>0</v>
      </c>
      <c r="O34" s="258">
        <v>0.08</v>
      </c>
      <c r="P34" s="258">
        <v>0.34</v>
      </c>
      <c r="Q34" s="258">
        <v>0.28000000000000003</v>
      </c>
      <c r="R34" s="258">
        <v>1.4</v>
      </c>
      <c r="S34" s="258"/>
      <c r="T34" s="258"/>
    </row>
    <row r="35" spans="1:20" s="231" customFormat="1" x14ac:dyDescent="0.2">
      <c r="A35" s="271"/>
      <c r="B35" s="272" t="s">
        <v>185</v>
      </c>
      <c r="C35" s="273"/>
      <c r="D35" s="273"/>
      <c r="E35" s="272">
        <f>E33+E34</f>
        <v>12.94</v>
      </c>
      <c r="F35" s="272">
        <f t="shared" ref="F35:Q35" si="4">F33+F34</f>
        <v>18.060000000000002</v>
      </c>
      <c r="G35" s="272">
        <f t="shared" si="4"/>
        <v>68.989999999999995</v>
      </c>
      <c r="H35" s="272">
        <f t="shared" si="4"/>
        <v>507.8</v>
      </c>
      <c r="I35" s="272">
        <f t="shared" si="4"/>
        <v>425.12</v>
      </c>
      <c r="J35" s="272">
        <f t="shared" si="4"/>
        <v>260.89999999999998</v>
      </c>
      <c r="K35" s="272">
        <f t="shared" si="4"/>
        <v>58.370000000000005</v>
      </c>
      <c r="L35" s="272">
        <f t="shared" si="4"/>
        <v>273.89999999999998</v>
      </c>
      <c r="M35" s="272">
        <f t="shared" si="4"/>
        <v>1.5999999999999999</v>
      </c>
      <c r="N35" s="272">
        <f t="shared" si="4"/>
        <v>0</v>
      </c>
      <c r="O35" s="272">
        <f t="shared" si="4"/>
        <v>0.18</v>
      </c>
      <c r="P35" s="272">
        <f t="shared" si="4"/>
        <v>0.34</v>
      </c>
      <c r="Q35" s="272">
        <f t="shared" si="4"/>
        <v>1.08</v>
      </c>
      <c r="R35" s="272">
        <f>R33+R34</f>
        <v>1.4</v>
      </c>
      <c r="S35" s="272"/>
      <c r="T35" s="272"/>
    </row>
    <row r="36" spans="1:20" x14ac:dyDescent="0.2">
      <c r="A36" s="271"/>
      <c r="B36" s="281"/>
      <c r="C36" s="273"/>
      <c r="D36" s="273"/>
      <c r="E36" s="273"/>
      <c r="F36" s="273"/>
      <c r="G36" s="284"/>
      <c r="H36" s="284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</row>
    <row r="37" spans="1:20" x14ac:dyDescent="0.2">
      <c r="A37" s="271"/>
      <c r="B37" s="277" t="s">
        <v>50</v>
      </c>
      <c r="C37" s="273"/>
      <c r="D37" s="273"/>
      <c r="E37" s="273"/>
      <c r="F37" s="273"/>
      <c r="G37" s="284"/>
      <c r="H37" s="284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</row>
    <row r="38" spans="1:20" ht="25.5" x14ac:dyDescent="0.2">
      <c r="A38" s="271" t="s">
        <v>186</v>
      </c>
      <c r="B38" s="274" t="s">
        <v>187</v>
      </c>
      <c r="C38" s="273"/>
      <c r="D38" s="272">
        <v>75</v>
      </c>
      <c r="E38" s="272">
        <v>9.1999999999999993</v>
      </c>
      <c r="F38" s="272">
        <v>5</v>
      </c>
      <c r="G38" s="272">
        <v>31.74</v>
      </c>
      <c r="H38" s="272">
        <v>212.3</v>
      </c>
      <c r="I38" s="289">
        <v>108.3</v>
      </c>
      <c r="J38" s="272">
        <v>57.35</v>
      </c>
      <c r="K38" s="272">
        <v>24.46</v>
      </c>
      <c r="L38" s="272">
        <v>115.28</v>
      </c>
      <c r="M38" s="272">
        <v>0.94</v>
      </c>
      <c r="N38" s="272">
        <v>0</v>
      </c>
      <c r="O38" s="272">
        <v>0</v>
      </c>
      <c r="P38" s="272">
        <v>0</v>
      </c>
      <c r="Q38" s="272">
        <v>0.57999999999999996</v>
      </c>
      <c r="R38" s="272">
        <v>0.14000000000000001</v>
      </c>
      <c r="S38" s="272"/>
      <c r="T38" s="272"/>
    </row>
    <row r="39" spans="1:20" x14ac:dyDescent="0.2">
      <c r="A39" s="271" t="s">
        <v>167</v>
      </c>
      <c r="B39" s="290" t="s">
        <v>168</v>
      </c>
      <c r="C39" s="273"/>
      <c r="D39" s="273">
        <v>58</v>
      </c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</row>
    <row r="40" spans="1:20" x14ac:dyDescent="0.2">
      <c r="A40" s="271"/>
      <c r="B40" s="281" t="s">
        <v>38</v>
      </c>
      <c r="C40" s="273">
        <v>39</v>
      </c>
      <c r="D40" s="273">
        <v>39</v>
      </c>
      <c r="E40" s="273">
        <v>4.0999999999999996</v>
      </c>
      <c r="F40" s="273">
        <v>0.4</v>
      </c>
      <c r="G40" s="273">
        <v>27.7</v>
      </c>
      <c r="H40" s="273">
        <v>134</v>
      </c>
      <c r="I40" s="273">
        <v>70.599999999999994</v>
      </c>
      <c r="J40" s="273">
        <v>9.6</v>
      </c>
      <c r="K40" s="273">
        <v>17.600000000000001</v>
      </c>
      <c r="L40" s="273">
        <v>46.1</v>
      </c>
      <c r="M40" s="273">
        <v>0.84</v>
      </c>
      <c r="N40" s="273">
        <v>0</v>
      </c>
      <c r="O40" s="273">
        <v>0</v>
      </c>
      <c r="P40" s="273">
        <v>0</v>
      </c>
      <c r="Q40" s="273">
        <v>0.48</v>
      </c>
      <c r="R40" s="273">
        <v>0</v>
      </c>
      <c r="S40" s="273"/>
      <c r="T40" s="273"/>
    </row>
    <row r="41" spans="1:20" x14ac:dyDescent="0.2">
      <c r="A41" s="271"/>
      <c r="B41" s="281" t="s">
        <v>30</v>
      </c>
      <c r="C41" s="273">
        <v>2</v>
      </c>
      <c r="D41" s="273">
        <v>2</v>
      </c>
      <c r="E41" s="273">
        <v>0</v>
      </c>
      <c r="F41" s="273">
        <v>0</v>
      </c>
      <c r="G41" s="273">
        <v>2</v>
      </c>
      <c r="H41" s="273">
        <v>10.3</v>
      </c>
      <c r="I41" s="273">
        <v>0.1</v>
      </c>
      <c r="J41" s="273">
        <v>0.1</v>
      </c>
      <c r="K41" s="273">
        <v>0</v>
      </c>
      <c r="L41" s="273">
        <v>0</v>
      </c>
      <c r="M41" s="273">
        <v>0</v>
      </c>
      <c r="N41" s="273">
        <v>0</v>
      </c>
      <c r="O41" s="273">
        <v>0</v>
      </c>
      <c r="P41" s="273">
        <v>0</v>
      </c>
      <c r="Q41" s="273">
        <v>0</v>
      </c>
      <c r="R41" s="273">
        <v>0</v>
      </c>
      <c r="S41" s="273"/>
      <c r="T41" s="273"/>
    </row>
    <row r="42" spans="1:20" x14ac:dyDescent="0.2">
      <c r="A42" s="271"/>
      <c r="B42" s="281" t="s">
        <v>171</v>
      </c>
      <c r="C42" s="273">
        <v>2</v>
      </c>
      <c r="D42" s="273">
        <v>2</v>
      </c>
      <c r="E42" s="273">
        <v>0</v>
      </c>
      <c r="F42" s="273">
        <v>1.45</v>
      </c>
      <c r="G42" s="273">
        <v>0</v>
      </c>
      <c r="H42" s="273">
        <v>13.2</v>
      </c>
      <c r="I42" s="273">
        <v>0.46</v>
      </c>
      <c r="J42" s="273">
        <v>0.45</v>
      </c>
      <c r="K42" s="273">
        <v>0</v>
      </c>
      <c r="L42" s="273">
        <v>0.38</v>
      </c>
      <c r="M42" s="273">
        <v>0</v>
      </c>
      <c r="N42" s="273">
        <v>0</v>
      </c>
      <c r="O42" s="273">
        <v>0</v>
      </c>
      <c r="P42" s="273">
        <v>0</v>
      </c>
      <c r="Q42" s="273">
        <v>0</v>
      </c>
      <c r="R42" s="273">
        <v>0</v>
      </c>
      <c r="S42" s="273"/>
      <c r="T42" s="273"/>
    </row>
    <row r="43" spans="1:20" x14ac:dyDescent="0.2">
      <c r="A43" s="271"/>
      <c r="B43" s="281" t="s">
        <v>182</v>
      </c>
      <c r="C43" s="273">
        <v>3.5</v>
      </c>
      <c r="D43" s="273">
        <v>3.5</v>
      </c>
      <c r="E43" s="273">
        <v>0.5</v>
      </c>
      <c r="F43" s="273">
        <v>0.4</v>
      </c>
      <c r="G43" s="273">
        <v>0</v>
      </c>
      <c r="H43" s="273">
        <v>6.4</v>
      </c>
      <c r="I43" s="273">
        <v>5.5</v>
      </c>
      <c r="J43" s="273">
        <v>2.2999999999999998</v>
      </c>
      <c r="K43" s="273">
        <v>0.46</v>
      </c>
      <c r="L43" s="273">
        <v>7.5</v>
      </c>
      <c r="M43" s="273">
        <v>0.1</v>
      </c>
      <c r="N43" s="273">
        <v>0</v>
      </c>
      <c r="O43" s="273">
        <v>0</v>
      </c>
      <c r="P43" s="273">
        <v>0</v>
      </c>
      <c r="Q43" s="273">
        <v>0</v>
      </c>
      <c r="R43" s="273">
        <v>0</v>
      </c>
      <c r="S43" s="273"/>
      <c r="T43" s="273"/>
    </row>
    <row r="44" spans="1:20" ht="18.75" customHeight="1" x14ac:dyDescent="0.2">
      <c r="A44" s="271"/>
      <c r="B44" s="281" t="s">
        <v>46</v>
      </c>
      <c r="C44" s="273">
        <v>0.6</v>
      </c>
      <c r="D44" s="273">
        <v>0.6</v>
      </c>
      <c r="E44" s="273">
        <v>0</v>
      </c>
      <c r="F44" s="273">
        <v>0</v>
      </c>
      <c r="G44" s="273">
        <v>0</v>
      </c>
      <c r="H44" s="273">
        <v>0</v>
      </c>
      <c r="I44" s="273">
        <v>0</v>
      </c>
      <c r="J44" s="273">
        <v>0</v>
      </c>
      <c r="K44" s="273">
        <v>0</v>
      </c>
      <c r="L44" s="273">
        <v>0</v>
      </c>
      <c r="M44" s="273">
        <v>0</v>
      </c>
      <c r="N44" s="273">
        <v>0</v>
      </c>
      <c r="O44" s="273">
        <v>0</v>
      </c>
      <c r="P44" s="273">
        <v>0</v>
      </c>
      <c r="Q44" s="273">
        <v>0</v>
      </c>
      <c r="R44" s="273">
        <v>0</v>
      </c>
      <c r="S44" s="273"/>
      <c r="T44" s="273"/>
    </row>
    <row r="45" spans="1:20" x14ac:dyDescent="0.2">
      <c r="A45" s="271"/>
      <c r="B45" s="281" t="s">
        <v>172</v>
      </c>
      <c r="C45" s="273">
        <v>0.3</v>
      </c>
      <c r="D45" s="273">
        <v>0.3</v>
      </c>
      <c r="E45" s="273">
        <v>0</v>
      </c>
      <c r="F45" s="273">
        <v>0</v>
      </c>
      <c r="G45" s="273">
        <v>0</v>
      </c>
      <c r="H45" s="273">
        <v>0</v>
      </c>
      <c r="I45" s="273">
        <v>0</v>
      </c>
      <c r="J45" s="273">
        <v>0</v>
      </c>
      <c r="K45" s="273">
        <v>0</v>
      </c>
      <c r="L45" s="273">
        <v>0</v>
      </c>
      <c r="M45" s="273">
        <v>0</v>
      </c>
      <c r="N45" s="273">
        <v>0</v>
      </c>
      <c r="O45" s="273">
        <v>0</v>
      </c>
      <c r="P45" s="273">
        <v>0</v>
      </c>
      <c r="Q45" s="273">
        <v>0</v>
      </c>
      <c r="R45" s="273">
        <v>0</v>
      </c>
      <c r="S45" s="273"/>
      <c r="T45" s="273"/>
    </row>
    <row r="46" spans="1:20" ht="25.5" x14ac:dyDescent="0.2">
      <c r="A46" s="271"/>
      <c r="B46" s="281" t="s">
        <v>188</v>
      </c>
      <c r="C46" s="273">
        <v>1.5</v>
      </c>
      <c r="D46" s="273">
        <v>1.5</v>
      </c>
      <c r="E46" s="273">
        <v>0.2</v>
      </c>
      <c r="F46" s="273">
        <v>0.1</v>
      </c>
      <c r="G46" s="273">
        <v>0</v>
      </c>
      <c r="H46" s="273">
        <v>3.5</v>
      </c>
      <c r="I46" s="273">
        <v>2.8</v>
      </c>
      <c r="J46" s="273">
        <v>0.7</v>
      </c>
      <c r="K46" s="273">
        <v>0.21</v>
      </c>
      <c r="L46" s="273">
        <v>3.8</v>
      </c>
      <c r="M46" s="273">
        <v>0</v>
      </c>
      <c r="N46" s="273">
        <v>0</v>
      </c>
      <c r="O46" s="273">
        <v>0</v>
      </c>
      <c r="P46" s="273">
        <v>0</v>
      </c>
      <c r="Q46" s="273">
        <v>0</v>
      </c>
      <c r="R46" s="273">
        <v>0</v>
      </c>
      <c r="S46" s="273"/>
      <c r="T46" s="273"/>
    </row>
    <row r="47" spans="1:20" x14ac:dyDescent="0.2">
      <c r="A47" s="271"/>
      <c r="B47" s="281" t="s">
        <v>35</v>
      </c>
      <c r="C47" s="273">
        <v>15</v>
      </c>
      <c r="D47" s="273">
        <v>15</v>
      </c>
      <c r="E47" s="273">
        <v>0</v>
      </c>
      <c r="F47" s="273">
        <v>0</v>
      </c>
      <c r="G47" s="273">
        <v>0</v>
      </c>
      <c r="H47" s="273">
        <v>0</v>
      </c>
      <c r="I47" s="273">
        <v>0</v>
      </c>
      <c r="J47" s="273">
        <v>0</v>
      </c>
      <c r="K47" s="273">
        <v>0</v>
      </c>
      <c r="L47" s="273">
        <v>0</v>
      </c>
      <c r="M47" s="273">
        <v>0</v>
      </c>
      <c r="N47" s="273">
        <v>0</v>
      </c>
      <c r="O47" s="273">
        <v>0</v>
      </c>
      <c r="P47" s="273">
        <v>0</v>
      </c>
      <c r="Q47" s="273">
        <v>0</v>
      </c>
      <c r="R47" s="273">
        <v>0</v>
      </c>
      <c r="S47" s="273"/>
      <c r="T47" s="273"/>
    </row>
    <row r="48" spans="1:20" x14ac:dyDescent="0.2">
      <c r="A48" s="279" t="s">
        <v>189</v>
      </c>
      <c r="B48" s="290" t="s">
        <v>190</v>
      </c>
      <c r="C48" s="273"/>
      <c r="D48" s="273">
        <v>30</v>
      </c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</row>
    <row r="49" spans="1:20" x14ac:dyDescent="0.2">
      <c r="A49" s="279"/>
      <c r="B49" s="281" t="s">
        <v>191</v>
      </c>
      <c r="C49" s="273">
        <v>27.5</v>
      </c>
      <c r="D49" s="273">
        <v>27.2</v>
      </c>
      <c r="E49" s="273">
        <v>4.5</v>
      </c>
      <c r="F49" s="273">
        <v>2.4</v>
      </c>
      <c r="G49" s="273">
        <v>0.54</v>
      </c>
      <c r="H49" s="273">
        <v>42.2</v>
      </c>
      <c r="I49" s="273">
        <v>30.5</v>
      </c>
      <c r="J49" s="273">
        <v>44.6</v>
      </c>
      <c r="K49" s="273">
        <v>6.3</v>
      </c>
      <c r="L49" s="273">
        <v>59.8</v>
      </c>
      <c r="M49" s="273">
        <v>0</v>
      </c>
      <c r="N49" s="273">
        <v>0</v>
      </c>
      <c r="O49" s="273">
        <v>0</v>
      </c>
      <c r="P49" s="273">
        <v>0</v>
      </c>
      <c r="Q49" s="273">
        <v>0.1</v>
      </c>
      <c r="R49" s="273">
        <v>0.14000000000000001</v>
      </c>
      <c r="S49" s="273"/>
      <c r="T49" s="273"/>
    </row>
    <row r="50" spans="1:20" x14ac:dyDescent="0.2">
      <c r="A50" s="279"/>
      <c r="B50" s="281" t="s">
        <v>182</v>
      </c>
      <c r="C50" s="273">
        <v>1.2</v>
      </c>
      <c r="D50" s="273">
        <v>1.2</v>
      </c>
      <c r="E50" s="273">
        <v>0.1</v>
      </c>
      <c r="F50" s="273">
        <v>0.1</v>
      </c>
      <c r="G50" s="273">
        <v>0</v>
      </c>
      <c r="H50" s="273">
        <v>1</v>
      </c>
      <c r="I50" s="273">
        <v>1.1000000000000001</v>
      </c>
      <c r="J50" s="273">
        <v>0.3</v>
      </c>
      <c r="K50" s="273">
        <v>0.1</v>
      </c>
      <c r="L50" s="273">
        <v>1.5</v>
      </c>
      <c r="M50" s="273">
        <v>0</v>
      </c>
      <c r="N50" s="273">
        <v>0</v>
      </c>
      <c r="O50" s="273">
        <v>0</v>
      </c>
      <c r="P50" s="273">
        <v>0</v>
      </c>
      <c r="Q50" s="273">
        <v>0</v>
      </c>
      <c r="R50" s="273">
        <v>0</v>
      </c>
      <c r="S50" s="273"/>
      <c r="T50" s="273"/>
    </row>
    <row r="51" spans="1:20" x14ac:dyDescent="0.2">
      <c r="A51" s="279"/>
      <c r="B51" s="281" t="s">
        <v>30</v>
      </c>
      <c r="C51" s="273">
        <v>1.5</v>
      </c>
      <c r="D51" s="273">
        <v>1.5</v>
      </c>
      <c r="E51" s="273">
        <v>0</v>
      </c>
      <c r="F51" s="273">
        <v>0</v>
      </c>
      <c r="G51" s="273">
        <v>1.5</v>
      </c>
      <c r="H51" s="273">
        <v>3</v>
      </c>
      <c r="I51" s="273">
        <v>0</v>
      </c>
      <c r="J51" s="273">
        <v>0</v>
      </c>
      <c r="K51" s="273">
        <v>0</v>
      </c>
      <c r="L51" s="273">
        <v>0</v>
      </c>
      <c r="M51" s="273">
        <v>0</v>
      </c>
      <c r="N51" s="273">
        <v>0</v>
      </c>
      <c r="O51" s="273">
        <v>0</v>
      </c>
      <c r="P51" s="273">
        <v>0</v>
      </c>
      <c r="Q51" s="273">
        <v>0</v>
      </c>
      <c r="R51" s="273">
        <v>0</v>
      </c>
      <c r="S51" s="273"/>
      <c r="T51" s="273"/>
    </row>
    <row r="52" spans="1:20" x14ac:dyDescent="0.2">
      <c r="A52" s="279"/>
      <c r="B52" s="281" t="s">
        <v>38</v>
      </c>
      <c r="C52" s="273">
        <v>1.2</v>
      </c>
      <c r="D52" s="273">
        <v>1.2</v>
      </c>
      <c r="E52" s="273">
        <v>0</v>
      </c>
      <c r="F52" s="273">
        <v>0</v>
      </c>
      <c r="G52" s="273">
        <v>0</v>
      </c>
      <c r="H52" s="273">
        <v>0</v>
      </c>
      <c r="I52" s="273">
        <v>0</v>
      </c>
      <c r="J52" s="273">
        <v>0</v>
      </c>
      <c r="K52" s="273">
        <v>0</v>
      </c>
      <c r="L52" s="273">
        <v>0</v>
      </c>
      <c r="M52" s="273">
        <v>0</v>
      </c>
      <c r="N52" s="273">
        <v>0</v>
      </c>
      <c r="O52" s="273">
        <v>0</v>
      </c>
      <c r="P52" s="273">
        <v>0</v>
      </c>
      <c r="Q52" s="273">
        <v>0</v>
      </c>
      <c r="R52" s="273">
        <v>0</v>
      </c>
      <c r="S52" s="273"/>
      <c r="T52" s="273"/>
    </row>
    <row r="53" spans="1:20" x14ac:dyDescent="0.2">
      <c r="A53" s="279"/>
      <c r="B53" s="281" t="s">
        <v>192</v>
      </c>
      <c r="C53" s="273">
        <v>1.2E-2</v>
      </c>
      <c r="D53" s="273">
        <v>1.2E-2</v>
      </c>
      <c r="E53" s="273">
        <v>0</v>
      </c>
      <c r="F53" s="273">
        <v>0</v>
      </c>
      <c r="G53" s="273">
        <v>0</v>
      </c>
      <c r="H53" s="273">
        <v>0</v>
      </c>
      <c r="I53" s="273">
        <v>0</v>
      </c>
      <c r="J53" s="273">
        <v>0</v>
      </c>
      <c r="K53" s="273">
        <v>0</v>
      </c>
      <c r="L53" s="273">
        <v>0</v>
      </c>
      <c r="M53" s="273">
        <v>0</v>
      </c>
      <c r="N53" s="273">
        <v>0</v>
      </c>
      <c r="O53" s="273">
        <v>0</v>
      </c>
      <c r="P53" s="273">
        <v>0</v>
      </c>
      <c r="Q53" s="273">
        <v>0</v>
      </c>
      <c r="R53" s="273">
        <v>0</v>
      </c>
      <c r="S53" s="273"/>
      <c r="T53" s="273"/>
    </row>
    <row r="54" spans="1:20" ht="25.5" x14ac:dyDescent="0.2">
      <c r="A54" s="271"/>
      <c r="B54" s="281" t="s">
        <v>193</v>
      </c>
      <c r="C54" s="273">
        <v>0.25</v>
      </c>
      <c r="D54" s="273">
        <v>0.25</v>
      </c>
      <c r="E54" s="273">
        <v>0</v>
      </c>
      <c r="F54" s="273">
        <v>0.25</v>
      </c>
      <c r="G54" s="273">
        <v>0</v>
      </c>
      <c r="H54" s="273">
        <v>2.2000000000000002</v>
      </c>
      <c r="I54" s="284">
        <v>0</v>
      </c>
      <c r="J54" s="273">
        <v>0</v>
      </c>
      <c r="K54" s="273">
        <v>0</v>
      </c>
      <c r="L54" s="273">
        <v>0</v>
      </c>
      <c r="M54" s="273">
        <v>0</v>
      </c>
      <c r="N54" s="273">
        <v>0</v>
      </c>
      <c r="O54" s="273">
        <v>0</v>
      </c>
      <c r="P54" s="273">
        <v>0</v>
      </c>
      <c r="Q54" s="273">
        <v>0</v>
      </c>
      <c r="R54" s="273">
        <v>0</v>
      </c>
      <c r="S54" s="273"/>
      <c r="T54" s="273"/>
    </row>
    <row r="55" spans="1:20" s="268" customFormat="1" x14ac:dyDescent="0.2">
      <c r="A55" s="271" t="s">
        <v>24</v>
      </c>
      <c r="B55" s="274" t="s">
        <v>194</v>
      </c>
      <c r="C55" s="273">
        <v>200</v>
      </c>
      <c r="D55" s="272">
        <v>200</v>
      </c>
      <c r="E55" s="273">
        <v>0.86</v>
      </c>
      <c r="F55" s="273">
        <v>0</v>
      </c>
      <c r="G55" s="273">
        <v>28.7</v>
      </c>
      <c r="H55" s="273">
        <v>121.2</v>
      </c>
      <c r="I55" s="273">
        <v>100</v>
      </c>
      <c r="J55" s="273">
        <v>8</v>
      </c>
      <c r="K55" s="273">
        <v>5</v>
      </c>
      <c r="L55" s="273">
        <v>9</v>
      </c>
      <c r="M55" s="273">
        <v>0.2</v>
      </c>
      <c r="N55" s="273">
        <v>0</v>
      </c>
      <c r="O55" s="273">
        <v>0.01</v>
      </c>
      <c r="P55" s="273">
        <v>0.01</v>
      </c>
      <c r="Q55" s="273">
        <v>0.1</v>
      </c>
      <c r="R55" s="273">
        <v>2</v>
      </c>
      <c r="S55" s="273"/>
      <c r="T55" s="273"/>
    </row>
    <row r="56" spans="1:20" s="231" customFormat="1" x14ac:dyDescent="0.2">
      <c r="A56" s="271"/>
      <c r="B56" s="272" t="s">
        <v>164</v>
      </c>
      <c r="C56" s="273"/>
      <c r="D56" s="272"/>
      <c r="E56" s="272">
        <f>E38+E55</f>
        <v>10.059999999999999</v>
      </c>
      <c r="F56" s="272">
        <f t="shared" ref="F56:Q56" si="5">F38+F55</f>
        <v>5</v>
      </c>
      <c r="G56" s="272">
        <f t="shared" si="5"/>
        <v>60.44</v>
      </c>
      <c r="H56" s="272">
        <f t="shared" si="5"/>
        <v>333.5</v>
      </c>
      <c r="I56" s="272">
        <f t="shared" si="5"/>
        <v>208.3</v>
      </c>
      <c r="J56" s="272">
        <f t="shared" si="5"/>
        <v>65.349999999999994</v>
      </c>
      <c r="K56" s="272">
        <f t="shared" si="5"/>
        <v>29.46</v>
      </c>
      <c r="L56" s="272">
        <f t="shared" si="5"/>
        <v>124.28</v>
      </c>
      <c r="M56" s="272">
        <f t="shared" si="5"/>
        <v>1.1399999999999999</v>
      </c>
      <c r="N56" s="272">
        <f t="shared" si="5"/>
        <v>0</v>
      </c>
      <c r="O56" s="272">
        <f t="shared" si="5"/>
        <v>0.01</v>
      </c>
      <c r="P56" s="272">
        <f t="shared" si="5"/>
        <v>0.01</v>
      </c>
      <c r="Q56" s="272">
        <f t="shared" si="5"/>
        <v>0.67999999999999994</v>
      </c>
      <c r="R56" s="272">
        <f>R38+R55</f>
        <v>2.14</v>
      </c>
      <c r="S56" s="272"/>
      <c r="T56" s="272"/>
    </row>
    <row r="57" spans="1:20" x14ac:dyDescent="0.2">
      <c r="A57" s="291"/>
      <c r="B57" s="277" t="s">
        <v>53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</row>
    <row r="58" spans="1:20" x14ac:dyDescent="0.2">
      <c r="A58" s="340" t="s">
        <v>195</v>
      </c>
      <c r="B58" s="272" t="s">
        <v>196</v>
      </c>
      <c r="C58" s="272"/>
      <c r="D58" s="272">
        <v>100</v>
      </c>
      <c r="E58" s="272">
        <v>15.8</v>
      </c>
      <c r="F58" s="272">
        <v>26.4</v>
      </c>
      <c r="G58" s="272">
        <v>32.9</v>
      </c>
      <c r="H58" s="272">
        <v>325.5</v>
      </c>
      <c r="I58" s="272">
        <v>196.7</v>
      </c>
      <c r="J58" s="272">
        <v>32.5</v>
      </c>
      <c r="K58" s="272">
        <v>31</v>
      </c>
      <c r="L58" s="272">
        <v>142.80000000000001</v>
      </c>
      <c r="M58" s="272">
        <v>1.98</v>
      </c>
      <c r="N58" s="272">
        <v>0</v>
      </c>
      <c r="O58" s="272">
        <v>0.1</v>
      </c>
      <c r="P58" s="272">
        <v>0.75</v>
      </c>
      <c r="Q58" s="272">
        <v>2.14</v>
      </c>
      <c r="R58" s="272">
        <v>0.44</v>
      </c>
      <c r="S58" s="272"/>
      <c r="T58" s="272"/>
    </row>
    <row r="59" spans="1:20" x14ac:dyDescent="0.2">
      <c r="A59" s="329"/>
      <c r="B59" s="273" t="s">
        <v>197</v>
      </c>
      <c r="C59" s="273">
        <v>51.28</v>
      </c>
      <c r="D59" s="273">
        <v>50</v>
      </c>
      <c r="E59" s="273">
        <v>10.5</v>
      </c>
      <c r="F59" s="273">
        <v>22</v>
      </c>
      <c r="G59" s="273">
        <v>0.2</v>
      </c>
      <c r="H59" s="273">
        <v>130.5</v>
      </c>
      <c r="I59" s="273">
        <v>110</v>
      </c>
      <c r="J59" s="273">
        <v>17.5</v>
      </c>
      <c r="K59" s="273">
        <v>10</v>
      </c>
      <c r="L59" s="273">
        <v>80</v>
      </c>
      <c r="M59" s="273">
        <v>0.9</v>
      </c>
      <c r="N59" s="273">
        <v>0</v>
      </c>
      <c r="O59" s="273">
        <v>0.1</v>
      </c>
      <c r="P59" s="273">
        <v>0.75</v>
      </c>
      <c r="Q59" s="273">
        <v>1.1000000000000001</v>
      </c>
      <c r="R59" s="273">
        <v>0</v>
      </c>
      <c r="S59" s="273"/>
      <c r="T59" s="273"/>
    </row>
    <row r="60" spans="1:20" x14ac:dyDescent="0.2">
      <c r="A60" s="273"/>
      <c r="B60" s="273" t="s">
        <v>38</v>
      </c>
      <c r="C60" s="273">
        <v>38.5</v>
      </c>
      <c r="D60" s="273">
        <v>38.5</v>
      </c>
      <c r="E60" s="273">
        <v>4.4000000000000004</v>
      </c>
      <c r="F60" s="273">
        <v>0.5</v>
      </c>
      <c r="G60" s="273">
        <v>29.7</v>
      </c>
      <c r="H60" s="273">
        <v>143.6</v>
      </c>
      <c r="I60" s="273">
        <v>75.7</v>
      </c>
      <c r="J60" s="273">
        <v>10.3</v>
      </c>
      <c r="K60" s="273">
        <v>19</v>
      </c>
      <c r="L60" s="273">
        <v>49.5</v>
      </c>
      <c r="M60" s="273">
        <v>0.9</v>
      </c>
      <c r="N60" s="273">
        <v>0</v>
      </c>
      <c r="O60" s="273">
        <v>0</v>
      </c>
      <c r="P60" s="273">
        <v>0</v>
      </c>
      <c r="Q60" s="273">
        <v>0.52</v>
      </c>
      <c r="R60" s="273">
        <v>0.22</v>
      </c>
      <c r="S60" s="273"/>
      <c r="T60" s="273"/>
    </row>
    <row r="61" spans="1:20" x14ac:dyDescent="0.2">
      <c r="A61" s="273"/>
      <c r="B61" s="273" t="s">
        <v>30</v>
      </c>
      <c r="C61" s="273">
        <v>3</v>
      </c>
      <c r="D61" s="273">
        <v>3</v>
      </c>
      <c r="E61" s="273">
        <v>0</v>
      </c>
      <c r="F61" s="273">
        <v>0</v>
      </c>
      <c r="G61" s="273">
        <v>3</v>
      </c>
      <c r="H61" s="273">
        <v>11.4</v>
      </c>
      <c r="I61" s="273">
        <v>0</v>
      </c>
      <c r="J61" s="273">
        <v>0</v>
      </c>
      <c r="K61" s="273">
        <v>1</v>
      </c>
      <c r="L61" s="273">
        <v>0</v>
      </c>
      <c r="M61" s="273">
        <v>0</v>
      </c>
      <c r="N61" s="273">
        <v>0</v>
      </c>
      <c r="O61" s="273">
        <v>0</v>
      </c>
      <c r="P61" s="273">
        <v>0</v>
      </c>
      <c r="Q61" s="273">
        <v>0.52</v>
      </c>
      <c r="R61" s="273">
        <v>0</v>
      </c>
      <c r="S61" s="273"/>
      <c r="T61" s="273"/>
    </row>
    <row r="62" spans="1:20" x14ac:dyDescent="0.2">
      <c r="A62" s="273"/>
      <c r="B62" s="273" t="s">
        <v>198</v>
      </c>
      <c r="C62" s="273">
        <v>1.1000000000000001</v>
      </c>
      <c r="D62" s="273">
        <v>1.1000000000000001</v>
      </c>
      <c r="E62" s="273">
        <v>0</v>
      </c>
      <c r="F62" s="273">
        <v>3.2</v>
      </c>
      <c r="G62" s="273">
        <v>0</v>
      </c>
      <c r="H62" s="273">
        <v>29</v>
      </c>
      <c r="I62" s="273">
        <v>1</v>
      </c>
      <c r="J62" s="273">
        <v>1</v>
      </c>
      <c r="K62" s="273"/>
      <c r="L62" s="273">
        <v>0.8</v>
      </c>
      <c r="M62" s="273">
        <v>0</v>
      </c>
      <c r="N62" s="273">
        <v>0</v>
      </c>
      <c r="O62" s="273">
        <v>0</v>
      </c>
      <c r="P62" s="273">
        <v>0</v>
      </c>
      <c r="Q62" s="273">
        <v>0</v>
      </c>
      <c r="R62" s="273">
        <v>0</v>
      </c>
      <c r="S62" s="273"/>
      <c r="T62" s="273"/>
    </row>
    <row r="63" spans="1:20" x14ac:dyDescent="0.2">
      <c r="A63" s="273"/>
      <c r="B63" s="273" t="s">
        <v>199</v>
      </c>
      <c r="C63" s="273">
        <v>3</v>
      </c>
      <c r="D63" s="273">
        <v>3</v>
      </c>
      <c r="E63" s="273">
        <v>0.9</v>
      </c>
      <c r="F63" s="273"/>
      <c r="G63" s="273">
        <v>0</v>
      </c>
      <c r="H63" s="273">
        <v>11</v>
      </c>
      <c r="I63" s="273">
        <v>10</v>
      </c>
      <c r="J63" s="273">
        <v>3.7</v>
      </c>
      <c r="K63" s="273">
        <v>0.2</v>
      </c>
      <c r="L63" s="273">
        <v>12.5</v>
      </c>
      <c r="M63" s="273">
        <v>0.18</v>
      </c>
      <c r="N63" s="273">
        <v>0</v>
      </c>
      <c r="O63" s="273">
        <v>0</v>
      </c>
      <c r="P63" s="273">
        <v>0</v>
      </c>
      <c r="Q63" s="273">
        <v>0</v>
      </c>
      <c r="R63" s="273">
        <v>0</v>
      </c>
      <c r="S63" s="273"/>
      <c r="T63" s="273"/>
    </row>
    <row r="64" spans="1:20" x14ac:dyDescent="0.2">
      <c r="A64" s="273"/>
      <c r="B64" s="273" t="s">
        <v>46</v>
      </c>
      <c r="C64" s="273">
        <v>0.6</v>
      </c>
      <c r="D64" s="273">
        <v>0.6</v>
      </c>
      <c r="E64" s="273">
        <v>0</v>
      </c>
      <c r="F64" s="273">
        <v>0.7</v>
      </c>
      <c r="G64" s="273">
        <v>0</v>
      </c>
      <c r="H64" s="273">
        <v>0</v>
      </c>
      <c r="I64" s="273">
        <v>0</v>
      </c>
      <c r="J64" s="273">
        <v>0</v>
      </c>
      <c r="K64" s="273">
        <v>0.8</v>
      </c>
      <c r="L64" s="273">
        <v>0</v>
      </c>
      <c r="M64" s="273">
        <v>0</v>
      </c>
      <c r="N64" s="273">
        <v>0</v>
      </c>
      <c r="O64" s="273">
        <v>0</v>
      </c>
      <c r="P64" s="273">
        <v>0</v>
      </c>
      <c r="Q64" s="273">
        <v>0</v>
      </c>
      <c r="R64" s="273">
        <v>0</v>
      </c>
      <c r="S64" s="273"/>
      <c r="T64" s="273"/>
    </row>
    <row r="65" spans="1:20" x14ac:dyDescent="0.2">
      <c r="A65" s="273"/>
      <c r="B65" s="273" t="s">
        <v>200</v>
      </c>
      <c r="C65" s="273">
        <v>0.28000000000000003</v>
      </c>
      <c r="D65" s="273">
        <v>0.28000000000000003</v>
      </c>
      <c r="E65" s="273">
        <v>0</v>
      </c>
      <c r="F65" s="273">
        <v>0</v>
      </c>
      <c r="G65" s="273">
        <v>0</v>
      </c>
      <c r="H65" s="273">
        <v>0</v>
      </c>
      <c r="I65" s="273">
        <v>0</v>
      </c>
      <c r="J65" s="273">
        <v>0</v>
      </c>
      <c r="K65" s="273">
        <v>0</v>
      </c>
      <c r="L65" s="273">
        <v>0</v>
      </c>
      <c r="M65" s="273">
        <v>0</v>
      </c>
      <c r="N65" s="273">
        <v>0</v>
      </c>
      <c r="O65" s="273">
        <v>0</v>
      </c>
      <c r="P65" s="273">
        <v>0</v>
      </c>
      <c r="Q65" s="273">
        <v>0</v>
      </c>
      <c r="R65" s="273">
        <v>0</v>
      </c>
      <c r="S65" s="273"/>
      <c r="T65" s="273"/>
    </row>
    <row r="66" spans="1:20" ht="25.5" x14ac:dyDescent="0.2">
      <c r="A66" s="273"/>
      <c r="B66" s="281" t="s">
        <v>34</v>
      </c>
      <c r="C66" s="273">
        <v>1</v>
      </c>
      <c r="D66" s="273">
        <v>1</v>
      </c>
      <c r="E66" s="273">
        <v>0</v>
      </c>
      <c r="F66" s="273">
        <v>1</v>
      </c>
      <c r="G66" s="273">
        <v>0</v>
      </c>
      <c r="H66" s="273">
        <v>8.99</v>
      </c>
      <c r="I66" s="273">
        <v>0</v>
      </c>
      <c r="J66" s="273">
        <v>0</v>
      </c>
      <c r="K66" s="273">
        <v>0</v>
      </c>
      <c r="L66" s="273">
        <v>0</v>
      </c>
      <c r="M66" s="273">
        <v>0</v>
      </c>
      <c r="N66" s="273">
        <v>0</v>
      </c>
      <c r="O66" s="273">
        <v>0</v>
      </c>
      <c r="P66" s="273">
        <v>0</v>
      </c>
      <c r="Q66" s="273">
        <v>0</v>
      </c>
      <c r="R66" s="273">
        <v>0</v>
      </c>
      <c r="S66" s="273"/>
      <c r="T66" s="273"/>
    </row>
    <row r="67" spans="1:20" x14ac:dyDescent="0.2">
      <c r="A67" s="273"/>
      <c r="B67" s="273" t="s">
        <v>35</v>
      </c>
      <c r="C67" s="273">
        <v>11</v>
      </c>
      <c r="D67" s="273">
        <v>11</v>
      </c>
      <c r="E67" s="273">
        <v>0</v>
      </c>
      <c r="F67" s="273">
        <v>0</v>
      </c>
      <c r="G67" s="273">
        <v>0</v>
      </c>
      <c r="H67" s="273">
        <v>0</v>
      </c>
      <c r="I67" s="273">
        <v>0</v>
      </c>
      <c r="J67" s="273">
        <v>0</v>
      </c>
      <c r="K67" s="273">
        <v>0</v>
      </c>
      <c r="L67" s="273">
        <v>0</v>
      </c>
      <c r="M67" s="273">
        <v>0</v>
      </c>
      <c r="N67" s="273">
        <v>0</v>
      </c>
      <c r="O67" s="273">
        <v>0</v>
      </c>
      <c r="P67" s="273">
        <v>0</v>
      </c>
      <c r="Q67" s="273">
        <v>0</v>
      </c>
      <c r="R67" s="273">
        <v>0.22</v>
      </c>
      <c r="S67" s="273"/>
      <c r="T67" s="273"/>
    </row>
    <row r="68" spans="1:20" x14ac:dyDescent="0.2">
      <c r="A68" s="328" t="s">
        <v>201</v>
      </c>
      <c r="B68" s="272" t="s">
        <v>202</v>
      </c>
      <c r="C68" s="272"/>
      <c r="D68" s="272" t="s">
        <v>75</v>
      </c>
      <c r="E68" s="272">
        <v>1.5</v>
      </c>
      <c r="F68" s="272">
        <v>15.1</v>
      </c>
      <c r="G68" s="272">
        <v>17.350000000000001</v>
      </c>
      <c r="H68" s="272">
        <v>86.6</v>
      </c>
      <c r="I68" s="272">
        <v>85.9</v>
      </c>
      <c r="J68" s="272">
        <v>62.9</v>
      </c>
      <c r="K68" s="272">
        <v>9.1999999999999993</v>
      </c>
      <c r="L68" s="272">
        <v>49.1</v>
      </c>
      <c r="M68" s="272">
        <v>0.45</v>
      </c>
      <c r="N68" s="272">
        <v>0.01</v>
      </c>
      <c r="O68" s="272">
        <v>0.02</v>
      </c>
      <c r="P68" s="272">
        <v>0.35</v>
      </c>
      <c r="Q68" s="272">
        <v>0.05</v>
      </c>
      <c r="R68" s="272">
        <v>0.8</v>
      </c>
      <c r="S68" s="272"/>
      <c r="T68" s="272"/>
    </row>
    <row r="69" spans="1:20" x14ac:dyDescent="0.2">
      <c r="A69" s="329"/>
      <c r="B69" s="273" t="s">
        <v>178</v>
      </c>
      <c r="C69" s="273">
        <v>50</v>
      </c>
      <c r="D69" s="273">
        <v>50</v>
      </c>
      <c r="E69" s="273">
        <v>0.1</v>
      </c>
      <c r="F69" s="273">
        <v>0</v>
      </c>
      <c r="G69" s="273">
        <v>0</v>
      </c>
      <c r="H69" s="273">
        <v>0.8</v>
      </c>
      <c r="I69" s="273">
        <v>12.4</v>
      </c>
      <c r="J69" s="273">
        <v>2.5</v>
      </c>
      <c r="K69" s="273">
        <v>2.2000000000000002</v>
      </c>
      <c r="L69" s="273">
        <v>4.0999999999999996</v>
      </c>
      <c r="M69" s="273">
        <v>0.4</v>
      </c>
      <c r="N69" s="273">
        <v>0</v>
      </c>
      <c r="O69" s="273">
        <v>0</v>
      </c>
      <c r="P69" s="273">
        <v>0</v>
      </c>
      <c r="Q69" s="273">
        <v>0</v>
      </c>
      <c r="R69" s="273">
        <v>0</v>
      </c>
      <c r="S69" s="273"/>
      <c r="T69" s="273"/>
    </row>
    <row r="70" spans="1:20" x14ac:dyDescent="0.2">
      <c r="A70" s="273"/>
      <c r="B70" s="273" t="s">
        <v>30</v>
      </c>
      <c r="C70" s="273">
        <v>15</v>
      </c>
      <c r="D70" s="273">
        <v>15</v>
      </c>
      <c r="E70" s="273">
        <v>0</v>
      </c>
      <c r="F70" s="273">
        <v>0</v>
      </c>
      <c r="G70" s="273">
        <v>15</v>
      </c>
      <c r="H70" s="273">
        <v>56.8</v>
      </c>
      <c r="I70" s="273">
        <v>0.5</v>
      </c>
      <c r="J70" s="273">
        <v>0.4</v>
      </c>
      <c r="K70" s="273">
        <v>0</v>
      </c>
      <c r="L70" s="273">
        <v>0</v>
      </c>
      <c r="M70" s="273">
        <v>0</v>
      </c>
      <c r="N70" s="273">
        <v>0</v>
      </c>
      <c r="O70" s="273">
        <v>0</v>
      </c>
      <c r="P70" s="273">
        <v>0</v>
      </c>
      <c r="Q70" s="273">
        <v>0</v>
      </c>
      <c r="R70" s="273">
        <v>0</v>
      </c>
      <c r="S70" s="273"/>
      <c r="T70" s="273"/>
    </row>
    <row r="71" spans="1:20" x14ac:dyDescent="0.2">
      <c r="A71" s="273"/>
      <c r="B71" s="273" t="s">
        <v>29</v>
      </c>
      <c r="C71" s="273">
        <v>51</v>
      </c>
      <c r="D71" s="273">
        <v>50</v>
      </c>
      <c r="E71" s="273">
        <v>1.4</v>
      </c>
      <c r="F71" s="273">
        <v>15.1</v>
      </c>
      <c r="G71" s="273">
        <v>2.35</v>
      </c>
      <c r="H71" s="273">
        <v>29</v>
      </c>
      <c r="I71" s="273">
        <v>73</v>
      </c>
      <c r="J71" s="273">
        <v>60</v>
      </c>
      <c r="K71" s="273">
        <v>7</v>
      </c>
      <c r="L71" s="273">
        <v>45</v>
      </c>
      <c r="M71" s="273">
        <v>0.05</v>
      </c>
      <c r="N71" s="273">
        <v>0.01</v>
      </c>
      <c r="O71" s="273">
        <v>0.02</v>
      </c>
      <c r="P71" s="273">
        <v>0.35</v>
      </c>
      <c r="Q71" s="273">
        <v>0.05</v>
      </c>
      <c r="R71" s="273">
        <v>0.8</v>
      </c>
      <c r="S71" s="273"/>
      <c r="T71" s="273"/>
    </row>
    <row r="72" spans="1:20" x14ac:dyDescent="0.2">
      <c r="A72" s="273"/>
      <c r="B72" s="273" t="s">
        <v>35</v>
      </c>
      <c r="C72" s="273">
        <v>100</v>
      </c>
      <c r="D72" s="273">
        <v>100</v>
      </c>
      <c r="E72" s="273">
        <v>0</v>
      </c>
      <c r="F72" s="273">
        <v>0</v>
      </c>
      <c r="G72" s="273">
        <v>0</v>
      </c>
      <c r="H72" s="273">
        <v>0</v>
      </c>
      <c r="I72" s="273">
        <v>0</v>
      </c>
      <c r="J72" s="273">
        <v>0</v>
      </c>
      <c r="K72" s="273">
        <v>0</v>
      </c>
      <c r="L72" s="273">
        <v>0</v>
      </c>
      <c r="M72" s="273">
        <v>0</v>
      </c>
      <c r="N72" s="273">
        <v>0</v>
      </c>
      <c r="O72" s="273">
        <v>0</v>
      </c>
      <c r="P72" s="273">
        <v>0</v>
      </c>
      <c r="Q72" s="273">
        <v>0</v>
      </c>
      <c r="R72" s="273">
        <v>0</v>
      </c>
      <c r="S72" s="273"/>
      <c r="T72" s="273"/>
    </row>
    <row r="73" spans="1:20" x14ac:dyDescent="0.2">
      <c r="A73" s="272"/>
      <c r="B73" s="272" t="s">
        <v>164</v>
      </c>
      <c r="C73" s="272"/>
      <c r="D73" s="272"/>
      <c r="E73" s="272">
        <f>E68+E58</f>
        <v>17.3</v>
      </c>
      <c r="F73" s="272">
        <f t="shared" ref="F73:Q73" si="6">F68+F58</f>
        <v>41.5</v>
      </c>
      <c r="G73" s="272">
        <f t="shared" si="6"/>
        <v>50.25</v>
      </c>
      <c r="H73" s="272">
        <f t="shared" si="6"/>
        <v>412.1</v>
      </c>
      <c r="I73" s="272">
        <f t="shared" si="6"/>
        <v>282.60000000000002</v>
      </c>
      <c r="J73" s="272">
        <f t="shared" si="6"/>
        <v>95.4</v>
      </c>
      <c r="K73" s="272">
        <f t="shared" si="6"/>
        <v>40.200000000000003</v>
      </c>
      <c r="L73" s="272">
        <f t="shared" si="6"/>
        <v>191.9</v>
      </c>
      <c r="M73" s="272">
        <f t="shared" si="6"/>
        <v>2.4300000000000002</v>
      </c>
      <c r="N73" s="272">
        <f t="shared" si="6"/>
        <v>0.01</v>
      </c>
      <c r="O73" s="272">
        <f t="shared" si="6"/>
        <v>0.12000000000000001</v>
      </c>
      <c r="P73" s="272">
        <f t="shared" si="6"/>
        <v>1.1000000000000001</v>
      </c>
      <c r="Q73" s="272">
        <f t="shared" si="6"/>
        <v>2.19</v>
      </c>
      <c r="R73" s="272">
        <f>R68+R58</f>
        <v>1.24</v>
      </c>
      <c r="S73" s="272"/>
      <c r="T73" s="272"/>
    </row>
    <row r="74" spans="1:20" x14ac:dyDescent="0.2">
      <c r="A74" s="271"/>
      <c r="B74" s="273"/>
      <c r="C74" s="273"/>
      <c r="D74" s="273"/>
      <c r="E74" s="273"/>
      <c r="F74" s="273"/>
      <c r="G74" s="273"/>
      <c r="H74" s="273"/>
      <c r="I74" s="278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</row>
    <row r="75" spans="1:20" ht="13.5" customHeight="1" x14ac:dyDescent="0.2">
      <c r="A75" s="271"/>
      <c r="B75" s="277" t="s">
        <v>56</v>
      </c>
      <c r="C75" s="273"/>
      <c r="D75" s="273"/>
      <c r="E75" s="273"/>
      <c r="F75" s="273"/>
      <c r="G75" s="273"/>
      <c r="H75" s="273"/>
      <c r="I75" s="278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</row>
    <row r="76" spans="1:20" ht="46.5" customHeight="1" x14ac:dyDescent="0.2">
      <c r="A76" s="286" t="s">
        <v>203</v>
      </c>
      <c r="B76" s="292" t="s">
        <v>204</v>
      </c>
      <c r="C76" s="42"/>
      <c r="D76" s="42">
        <v>210</v>
      </c>
      <c r="E76" s="293"/>
      <c r="F76" s="293"/>
      <c r="G76" s="293"/>
      <c r="H76" s="293"/>
      <c r="I76" s="293"/>
      <c r="J76" s="293"/>
      <c r="K76" s="293"/>
      <c r="L76" s="294"/>
      <c r="M76" s="293"/>
      <c r="N76" s="293"/>
      <c r="O76" s="293"/>
      <c r="P76" s="293"/>
      <c r="Q76" s="293"/>
      <c r="R76" s="293"/>
      <c r="S76" s="293"/>
      <c r="T76" s="293"/>
    </row>
    <row r="77" spans="1:20" x14ac:dyDescent="0.2">
      <c r="A77" s="286"/>
      <c r="B77" s="295" t="s">
        <v>49</v>
      </c>
      <c r="C77" s="296">
        <v>31</v>
      </c>
      <c r="D77" s="296">
        <v>31</v>
      </c>
      <c r="E77" s="296">
        <v>2.2999999999999998</v>
      </c>
      <c r="F77" s="296">
        <v>0.37</v>
      </c>
      <c r="G77" s="296">
        <v>16.399999999999999</v>
      </c>
      <c r="H77" s="296">
        <v>122.1</v>
      </c>
      <c r="I77" s="296">
        <v>20</v>
      </c>
      <c r="J77" s="296">
        <v>8.9</v>
      </c>
      <c r="K77" s="296">
        <v>7.8</v>
      </c>
      <c r="L77" s="297">
        <v>35.9</v>
      </c>
      <c r="M77" s="296">
        <v>0.7</v>
      </c>
      <c r="N77" s="296">
        <v>0</v>
      </c>
      <c r="O77" s="296">
        <v>0.03</v>
      </c>
      <c r="P77" s="296">
        <v>0</v>
      </c>
      <c r="Q77" s="296">
        <v>0.59</v>
      </c>
      <c r="R77" s="296">
        <v>0</v>
      </c>
      <c r="S77" s="296"/>
      <c r="T77" s="296"/>
    </row>
    <row r="78" spans="1:20" x14ac:dyDescent="0.2">
      <c r="A78" s="286"/>
      <c r="B78" s="295" t="s">
        <v>29</v>
      </c>
      <c r="C78" s="296">
        <v>100</v>
      </c>
      <c r="D78" s="296">
        <v>100</v>
      </c>
      <c r="E78" s="296">
        <v>3.3</v>
      </c>
      <c r="F78" s="296">
        <v>3.8</v>
      </c>
      <c r="G78" s="296">
        <v>5.6</v>
      </c>
      <c r="H78" s="296">
        <v>69</v>
      </c>
      <c r="I78" s="296">
        <v>173.7</v>
      </c>
      <c r="J78" s="296">
        <v>142.80000000000001</v>
      </c>
      <c r="K78" s="296">
        <v>16.7</v>
      </c>
      <c r="L78" s="297">
        <v>107.1</v>
      </c>
      <c r="M78" s="296">
        <v>0.12</v>
      </c>
      <c r="N78" s="296">
        <v>0.02</v>
      </c>
      <c r="O78" s="296">
        <v>0.05</v>
      </c>
      <c r="P78" s="296">
        <v>0.18</v>
      </c>
      <c r="Q78" s="296">
        <v>0.12</v>
      </c>
      <c r="R78" s="296">
        <v>1.55</v>
      </c>
      <c r="S78" s="296"/>
      <c r="T78" s="296"/>
    </row>
    <row r="79" spans="1:20" x14ac:dyDescent="0.2">
      <c r="A79" s="286"/>
      <c r="B79" s="295" t="s">
        <v>35</v>
      </c>
      <c r="C79" s="296">
        <v>75</v>
      </c>
      <c r="D79" s="296">
        <v>75</v>
      </c>
      <c r="E79" s="296">
        <v>0</v>
      </c>
      <c r="F79" s="296">
        <v>0</v>
      </c>
      <c r="G79" s="296">
        <v>0</v>
      </c>
      <c r="H79" s="296">
        <v>0</v>
      </c>
      <c r="I79" s="296">
        <v>0</v>
      </c>
      <c r="J79" s="296">
        <v>0</v>
      </c>
      <c r="K79" s="296">
        <v>0</v>
      </c>
      <c r="L79" s="297">
        <v>0</v>
      </c>
      <c r="M79" s="296">
        <v>0</v>
      </c>
      <c r="N79" s="296">
        <v>0</v>
      </c>
      <c r="O79" s="296">
        <v>0</v>
      </c>
      <c r="P79" s="296">
        <v>0</v>
      </c>
      <c r="Q79" s="296">
        <v>0</v>
      </c>
      <c r="R79" s="296">
        <v>0</v>
      </c>
      <c r="S79" s="296"/>
      <c r="T79" s="296"/>
    </row>
    <row r="80" spans="1:20" x14ac:dyDescent="0.2">
      <c r="A80" s="286"/>
      <c r="B80" s="295" t="s">
        <v>30</v>
      </c>
      <c r="C80" s="296">
        <v>16</v>
      </c>
      <c r="D80" s="296">
        <v>16</v>
      </c>
      <c r="E80" s="296">
        <v>0</v>
      </c>
      <c r="F80" s="296">
        <v>0</v>
      </c>
      <c r="G80" s="296">
        <v>19</v>
      </c>
      <c r="H80" s="296">
        <v>72</v>
      </c>
      <c r="I80" s="296">
        <v>0.56999999999999995</v>
      </c>
      <c r="J80" s="296">
        <v>0.38</v>
      </c>
      <c r="K80" s="296">
        <v>0</v>
      </c>
      <c r="L80" s="297">
        <v>0</v>
      </c>
      <c r="M80" s="296">
        <v>0</v>
      </c>
      <c r="N80" s="296">
        <v>0</v>
      </c>
      <c r="O80" s="296">
        <v>0</v>
      </c>
      <c r="P80" s="296">
        <v>0</v>
      </c>
      <c r="Q80" s="296">
        <v>0</v>
      </c>
      <c r="R80" s="296">
        <v>0</v>
      </c>
      <c r="S80" s="296"/>
      <c r="T80" s="296"/>
    </row>
    <row r="81" spans="1:20" x14ac:dyDescent="0.2">
      <c r="A81" s="286"/>
      <c r="B81" s="295" t="s">
        <v>46</v>
      </c>
      <c r="C81" s="296">
        <v>1.2</v>
      </c>
      <c r="D81" s="296">
        <v>1.2</v>
      </c>
      <c r="E81" s="296">
        <v>0</v>
      </c>
      <c r="F81" s="296">
        <v>0</v>
      </c>
      <c r="G81" s="296">
        <v>0</v>
      </c>
      <c r="H81" s="296">
        <v>0</v>
      </c>
      <c r="I81" s="296">
        <v>0</v>
      </c>
      <c r="J81" s="296">
        <v>0</v>
      </c>
      <c r="K81" s="296">
        <v>0</v>
      </c>
      <c r="L81" s="297">
        <v>0</v>
      </c>
      <c r="M81" s="296">
        <v>0</v>
      </c>
      <c r="N81" s="296">
        <v>0</v>
      </c>
      <c r="O81" s="296">
        <v>0</v>
      </c>
      <c r="P81" s="296">
        <v>0</v>
      </c>
      <c r="Q81" s="296">
        <v>0</v>
      </c>
      <c r="R81" s="296">
        <v>0</v>
      </c>
      <c r="S81" s="296"/>
      <c r="T81" s="296"/>
    </row>
    <row r="82" spans="1:20" ht="25.5" x14ac:dyDescent="0.2">
      <c r="A82" s="286"/>
      <c r="B82" s="295" t="s">
        <v>205</v>
      </c>
      <c r="C82" s="296">
        <v>10</v>
      </c>
      <c r="D82" s="296">
        <v>10</v>
      </c>
      <c r="E82" s="296">
        <v>0.08</v>
      </c>
      <c r="F82" s="296">
        <v>7.3</v>
      </c>
      <c r="G82" s="296">
        <v>0.1</v>
      </c>
      <c r="H82" s="296">
        <v>36</v>
      </c>
      <c r="I82" s="296">
        <v>2.2999999999999998</v>
      </c>
      <c r="J82" s="296">
        <v>0.3</v>
      </c>
      <c r="K82" s="296">
        <v>1.9</v>
      </c>
      <c r="L82" s="296">
        <v>0.02</v>
      </c>
      <c r="M82" s="296">
        <v>0.05</v>
      </c>
      <c r="N82" s="296">
        <v>0</v>
      </c>
      <c r="O82" s="296">
        <v>0.01</v>
      </c>
      <c r="P82" s="296">
        <v>0.01</v>
      </c>
      <c r="Q82" s="296">
        <v>0.01</v>
      </c>
      <c r="R82" s="296">
        <v>0</v>
      </c>
      <c r="S82" s="296"/>
      <c r="T82" s="296"/>
    </row>
    <row r="83" spans="1:20" x14ac:dyDescent="0.2">
      <c r="A83" s="286"/>
      <c r="B83" s="292" t="s">
        <v>77</v>
      </c>
      <c r="C83" s="42"/>
      <c r="D83" s="42"/>
      <c r="E83" s="42">
        <f>SUM(E77:E82)</f>
        <v>5.68</v>
      </c>
      <c r="F83" s="42">
        <f t="shared" ref="F83:Q83" si="7">SUM(F77:F82)</f>
        <v>11.469999999999999</v>
      </c>
      <c r="G83" s="42">
        <f t="shared" si="7"/>
        <v>41.1</v>
      </c>
      <c r="H83" s="42">
        <f t="shared" si="7"/>
        <v>299.10000000000002</v>
      </c>
      <c r="I83" s="42">
        <f t="shared" si="7"/>
        <v>196.57</v>
      </c>
      <c r="J83" s="42">
        <f t="shared" si="7"/>
        <v>152.38000000000002</v>
      </c>
      <c r="K83" s="42">
        <f t="shared" si="7"/>
        <v>26.4</v>
      </c>
      <c r="L83" s="42">
        <f t="shared" si="7"/>
        <v>143.02000000000001</v>
      </c>
      <c r="M83" s="42">
        <f t="shared" si="7"/>
        <v>0.87</v>
      </c>
      <c r="N83" s="42">
        <f t="shared" si="7"/>
        <v>0.02</v>
      </c>
      <c r="O83" s="42">
        <f t="shared" si="7"/>
        <v>0.09</v>
      </c>
      <c r="P83" s="42">
        <f t="shared" si="7"/>
        <v>0.19</v>
      </c>
      <c r="Q83" s="42">
        <f t="shared" si="7"/>
        <v>0.72</v>
      </c>
      <c r="R83" s="42">
        <f>SUM(R77:R82)</f>
        <v>1.55</v>
      </c>
      <c r="S83" s="42"/>
      <c r="T83" s="42"/>
    </row>
    <row r="84" spans="1:20" x14ac:dyDescent="0.2">
      <c r="A84" s="271" t="s">
        <v>73</v>
      </c>
      <c r="B84" s="274" t="s">
        <v>74</v>
      </c>
      <c r="C84" s="330" t="s">
        <v>75</v>
      </c>
      <c r="D84" s="331"/>
      <c r="E84" s="272">
        <v>0.1</v>
      </c>
      <c r="F84" s="272">
        <v>0</v>
      </c>
      <c r="G84" s="272">
        <v>15</v>
      </c>
      <c r="H84" s="272">
        <v>57.7</v>
      </c>
      <c r="I84" s="289">
        <v>12.9</v>
      </c>
      <c r="J84" s="272">
        <v>2.9</v>
      </c>
      <c r="K84" s="272">
        <v>2.2000000000000002</v>
      </c>
      <c r="L84" s="289">
        <v>4.12</v>
      </c>
      <c r="M84" s="272">
        <v>0.4</v>
      </c>
      <c r="N84" s="272">
        <v>0</v>
      </c>
      <c r="O84" s="272">
        <v>0</v>
      </c>
      <c r="P84" s="272">
        <v>0</v>
      </c>
      <c r="Q84" s="272">
        <v>0</v>
      </c>
      <c r="R84" s="272">
        <v>0</v>
      </c>
      <c r="S84" s="272"/>
      <c r="T84" s="272"/>
    </row>
    <row r="85" spans="1:20" x14ac:dyDescent="0.2">
      <c r="A85" s="271"/>
      <c r="B85" s="281" t="s">
        <v>40</v>
      </c>
      <c r="C85" s="282">
        <v>50</v>
      </c>
      <c r="D85" s="282">
        <v>50</v>
      </c>
      <c r="E85" s="273">
        <v>0.1</v>
      </c>
      <c r="F85" s="273">
        <v>0</v>
      </c>
      <c r="G85" s="273">
        <v>0</v>
      </c>
      <c r="H85" s="273">
        <v>0.8</v>
      </c>
      <c r="I85" s="284">
        <v>12.4</v>
      </c>
      <c r="J85" s="273">
        <v>2.5</v>
      </c>
      <c r="K85" s="273">
        <v>2.2000000000000002</v>
      </c>
      <c r="L85" s="284">
        <v>4.12</v>
      </c>
      <c r="M85" s="273">
        <v>0.4</v>
      </c>
      <c r="N85" s="273">
        <v>0</v>
      </c>
      <c r="O85" s="273">
        <v>0</v>
      </c>
      <c r="P85" s="273">
        <v>0</v>
      </c>
      <c r="Q85" s="273">
        <v>0</v>
      </c>
      <c r="R85" s="273">
        <v>0</v>
      </c>
      <c r="S85" s="273"/>
      <c r="T85" s="273"/>
    </row>
    <row r="86" spans="1:20" x14ac:dyDescent="0.2">
      <c r="A86" s="271"/>
      <c r="B86" s="281" t="s">
        <v>30</v>
      </c>
      <c r="C86" s="282">
        <v>15</v>
      </c>
      <c r="D86" s="282">
        <v>15</v>
      </c>
      <c r="E86" s="273">
        <v>0</v>
      </c>
      <c r="F86" s="273">
        <v>0</v>
      </c>
      <c r="G86" s="273">
        <v>15</v>
      </c>
      <c r="H86" s="273">
        <v>56.9</v>
      </c>
      <c r="I86" s="284">
        <v>0.5</v>
      </c>
      <c r="J86" s="273">
        <v>0.4</v>
      </c>
      <c r="K86" s="273">
        <v>0</v>
      </c>
      <c r="L86" s="284">
        <v>0</v>
      </c>
      <c r="M86" s="273">
        <v>0</v>
      </c>
      <c r="N86" s="273">
        <v>0</v>
      </c>
      <c r="O86" s="273">
        <v>0</v>
      </c>
      <c r="P86" s="273">
        <v>0</v>
      </c>
      <c r="Q86" s="273">
        <v>0</v>
      </c>
      <c r="R86" s="273">
        <v>0</v>
      </c>
      <c r="S86" s="273"/>
      <c r="T86" s="273"/>
    </row>
    <row r="87" spans="1:20" x14ac:dyDescent="0.2">
      <c r="A87" s="279"/>
      <c r="B87" s="281" t="s">
        <v>35</v>
      </c>
      <c r="C87" s="282">
        <v>150</v>
      </c>
      <c r="D87" s="282">
        <v>150</v>
      </c>
      <c r="E87" s="273">
        <v>0</v>
      </c>
      <c r="F87" s="273">
        <v>0</v>
      </c>
      <c r="G87" s="273">
        <v>0</v>
      </c>
      <c r="H87" s="273">
        <v>0</v>
      </c>
      <c r="I87" s="273">
        <v>0</v>
      </c>
      <c r="J87" s="273">
        <v>0</v>
      </c>
      <c r="K87" s="273">
        <v>0</v>
      </c>
      <c r="L87" s="273">
        <v>0</v>
      </c>
      <c r="M87" s="273">
        <v>0</v>
      </c>
      <c r="N87" s="273">
        <v>0</v>
      </c>
      <c r="O87" s="273">
        <v>0</v>
      </c>
      <c r="P87" s="273">
        <v>0</v>
      </c>
      <c r="Q87" s="273">
        <v>0</v>
      </c>
      <c r="R87" s="273">
        <v>0</v>
      </c>
      <c r="S87" s="273"/>
      <c r="T87" s="273"/>
    </row>
    <row r="88" spans="1:20" s="231" customFormat="1" x14ac:dyDescent="0.2">
      <c r="A88" s="271"/>
      <c r="B88" s="272" t="s">
        <v>164</v>
      </c>
      <c r="C88" s="273"/>
      <c r="D88" s="273"/>
      <c r="E88" s="272">
        <f t="shared" ref="E88:R88" si="8">E76+E84</f>
        <v>0.1</v>
      </c>
      <c r="F88" s="272">
        <f t="shared" si="8"/>
        <v>0</v>
      </c>
      <c r="G88" s="272">
        <f t="shared" si="8"/>
        <v>15</v>
      </c>
      <c r="H88" s="272">
        <f t="shared" si="8"/>
        <v>57.7</v>
      </c>
      <c r="I88" s="272">
        <f t="shared" si="8"/>
        <v>12.9</v>
      </c>
      <c r="J88" s="272">
        <f t="shared" si="8"/>
        <v>2.9</v>
      </c>
      <c r="K88" s="272">
        <f t="shared" si="8"/>
        <v>2.2000000000000002</v>
      </c>
      <c r="L88" s="272">
        <f t="shared" si="8"/>
        <v>4.12</v>
      </c>
      <c r="M88" s="272">
        <f t="shared" si="8"/>
        <v>0.4</v>
      </c>
      <c r="N88" s="272">
        <f t="shared" si="8"/>
        <v>0</v>
      </c>
      <c r="O88" s="272">
        <f t="shared" si="8"/>
        <v>0</v>
      </c>
      <c r="P88" s="272">
        <f t="shared" si="8"/>
        <v>0</v>
      </c>
      <c r="Q88" s="272">
        <f t="shared" si="8"/>
        <v>0</v>
      </c>
      <c r="R88" s="272">
        <f t="shared" si="8"/>
        <v>0</v>
      </c>
      <c r="S88" s="272"/>
      <c r="T88" s="272"/>
    </row>
    <row r="89" spans="1:20" x14ac:dyDescent="0.2">
      <c r="A89" s="271"/>
      <c r="B89" s="281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</row>
    <row r="90" spans="1:20" x14ac:dyDescent="0.2">
      <c r="A90" s="271"/>
      <c r="B90" s="277" t="s">
        <v>59</v>
      </c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</row>
    <row r="91" spans="1:20" x14ac:dyDescent="0.2">
      <c r="A91" s="271" t="s">
        <v>186</v>
      </c>
      <c r="B91" s="274" t="s">
        <v>206</v>
      </c>
      <c r="C91" s="273"/>
      <c r="D91" s="272">
        <v>100</v>
      </c>
      <c r="E91" s="272">
        <v>7.1</v>
      </c>
      <c r="F91" s="272">
        <v>11.45</v>
      </c>
      <c r="G91" s="272">
        <v>60.79</v>
      </c>
      <c r="H91" s="272">
        <v>368.8</v>
      </c>
      <c r="I91" s="289">
        <v>122</v>
      </c>
      <c r="J91" s="272">
        <v>19.899999999999999</v>
      </c>
      <c r="K91" s="272">
        <v>30.14</v>
      </c>
      <c r="L91" s="272">
        <v>80.3</v>
      </c>
      <c r="M91" s="272">
        <v>1.4</v>
      </c>
      <c r="N91" s="272">
        <v>0</v>
      </c>
      <c r="O91" s="272">
        <v>0.1</v>
      </c>
      <c r="P91" s="272">
        <v>0</v>
      </c>
      <c r="Q91" s="272">
        <v>0.8</v>
      </c>
      <c r="R91" s="272">
        <v>0.14000000000000001</v>
      </c>
      <c r="S91" s="272"/>
      <c r="T91" s="272"/>
    </row>
    <row r="92" spans="1:20" x14ac:dyDescent="0.2">
      <c r="A92" s="271"/>
      <c r="B92" s="281" t="s">
        <v>38</v>
      </c>
      <c r="C92" s="273">
        <v>65.02</v>
      </c>
      <c r="D92" s="273">
        <v>65.02</v>
      </c>
      <c r="E92" s="273">
        <v>6.9</v>
      </c>
      <c r="F92" s="273">
        <v>0.7</v>
      </c>
      <c r="G92" s="273">
        <v>46.5</v>
      </c>
      <c r="H92" s="273">
        <v>225.1</v>
      </c>
      <c r="I92" s="278">
        <v>118.6</v>
      </c>
      <c r="J92" s="273">
        <v>16.2</v>
      </c>
      <c r="K92" s="273">
        <v>29.7</v>
      </c>
      <c r="L92" s="284">
        <v>77.5</v>
      </c>
      <c r="M92" s="273">
        <v>1.4</v>
      </c>
      <c r="N92" s="273">
        <v>0</v>
      </c>
      <c r="O92" s="273">
        <v>0.1</v>
      </c>
      <c r="P92" s="273">
        <v>0</v>
      </c>
      <c r="Q92" s="273">
        <v>0.8</v>
      </c>
      <c r="R92" s="273">
        <v>0</v>
      </c>
      <c r="S92" s="273"/>
      <c r="T92" s="273"/>
    </row>
    <row r="93" spans="1:20" x14ac:dyDescent="0.2">
      <c r="A93" s="271"/>
      <c r="B93" s="281" t="s">
        <v>30</v>
      </c>
      <c r="C93" s="273">
        <v>12</v>
      </c>
      <c r="D93" s="273">
        <v>12</v>
      </c>
      <c r="E93" s="273">
        <v>0</v>
      </c>
      <c r="F93" s="273">
        <v>0</v>
      </c>
      <c r="G93" s="273">
        <v>14.1</v>
      </c>
      <c r="H93" s="273">
        <v>55.8</v>
      </c>
      <c r="I93" s="278">
        <v>0.42</v>
      </c>
      <c r="J93" s="273">
        <v>0.4</v>
      </c>
      <c r="K93" s="273">
        <v>0</v>
      </c>
      <c r="L93" s="284">
        <v>0</v>
      </c>
      <c r="M93" s="273">
        <v>0</v>
      </c>
      <c r="N93" s="273">
        <v>0</v>
      </c>
      <c r="O93" s="273">
        <v>0</v>
      </c>
      <c r="P93" s="273">
        <v>0</v>
      </c>
      <c r="Q93" s="273">
        <v>0</v>
      </c>
      <c r="R93" s="273">
        <v>0</v>
      </c>
      <c r="S93" s="273"/>
      <c r="T93" s="273"/>
    </row>
    <row r="94" spans="1:20" x14ac:dyDescent="0.2">
      <c r="A94" s="271"/>
      <c r="B94" s="281" t="s">
        <v>171</v>
      </c>
      <c r="C94" s="273">
        <v>17.02</v>
      </c>
      <c r="D94" s="273">
        <v>17.02</v>
      </c>
      <c r="E94" s="273">
        <v>0.1</v>
      </c>
      <c r="F94" s="273">
        <v>10.7</v>
      </c>
      <c r="G94" s="273">
        <v>0.19</v>
      </c>
      <c r="H94" s="273">
        <v>97.8</v>
      </c>
      <c r="I94" s="278">
        <v>3.4</v>
      </c>
      <c r="J94" s="273">
        <v>3.3</v>
      </c>
      <c r="K94" s="273">
        <v>0.44</v>
      </c>
      <c r="L94" s="284">
        <v>2.8</v>
      </c>
      <c r="M94" s="273">
        <v>0</v>
      </c>
      <c r="N94" s="273">
        <v>0</v>
      </c>
      <c r="O94" s="273">
        <v>0</v>
      </c>
      <c r="P94" s="273">
        <v>0</v>
      </c>
      <c r="Q94" s="273">
        <v>0</v>
      </c>
      <c r="R94" s="273">
        <v>0</v>
      </c>
      <c r="S94" s="273"/>
      <c r="T94" s="273"/>
    </row>
    <row r="95" spans="1:20" x14ac:dyDescent="0.2">
      <c r="A95" s="271"/>
      <c r="B95" s="281" t="s">
        <v>46</v>
      </c>
      <c r="C95" s="273">
        <v>0.6</v>
      </c>
      <c r="D95" s="273">
        <v>0.6</v>
      </c>
      <c r="E95" s="273">
        <v>0</v>
      </c>
      <c r="F95" s="273">
        <v>0</v>
      </c>
      <c r="G95" s="273">
        <v>0</v>
      </c>
      <c r="H95" s="273">
        <v>0</v>
      </c>
      <c r="I95" s="278">
        <v>0</v>
      </c>
      <c r="J95" s="273">
        <v>0</v>
      </c>
      <c r="K95" s="273">
        <v>0</v>
      </c>
      <c r="L95" s="284">
        <v>0</v>
      </c>
      <c r="M95" s="273">
        <v>0</v>
      </c>
      <c r="N95" s="273">
        <v>0</v>
      </c>
      <c r="O95" s="273">
        <v>0</v>
      </c>
      <c r="P95" s="273">
        <v>0</v>
      </c>
      <c r="Q95" s="273">
        <v>0</v>
      </c>
      <c r="R95" s="273">
        <v>0</v>
      </c>
      <c r="S95" s="273"/>
      <c r="T95" s="273"/>
    </row>
    <row r="96" spans="1:20" x14ac:dyDescent="0.2">
      <c r="A96" s="271"/>
      <c r="B96" s="281" t="s">
        <v>172</v>
      </c>
      <c r="C96" s="273">
        <v>0.35</v>
      </c>
      <c r="D96" s="273">
        <v>0.35</v>
      </c>
      <c r="E96" s="273">
        <v>0.1</v>
      </c>
      <c r="F96" s="273">
        <v>0.05</v>
      </c>
      <c r="G96" s="273">
        <v>0</v>
      </c>
      <c r="H96" s="273">
        <v>8.1</v>
      </c>
      <c r="I96" s="273">
        <v>0</v>
      </c>
      <c r="J96" s="273">
        <v>0</v>
      </c>
      <c r="K96" s="273">
        <v>0</v>
      </c>
      <c r="L96" s="273">
        <v>0</v>
      </c>
      <c r="M96" s="273">
        <v>0</v>
      </c>
      <c r="N96" s="273">
        <v>0</v>
      </c>
      <c r="O96" s="273">
        <v>0</v>
      </c>
      <c r="P96" s="273">
        <v>0</v>
      </c>
      <c r="Q96" s="273">
        <v>0</v>
      </c>
      <c r="R96" s="273">
        <v>0</v>
      </c>
      <c r="S96" s="273"/>
      <c r="T96" s="273"/>
    </row>
    <row r="97" spans="1:20" x14ac:dyDescent="0.2">
      <c r="A97" s="271"/>
      <c r="B97" s="281" t="s">
        <v>35</v>
      </c>
      <c r="C97" s="273">
        <v>30.5</v>
      </c>
      <c r="D97" s="273">
        <v>30.5</v>
      </c>
      <c r="E97" s="273">
        <v>0</v>
      </c>
      <c r="F97" s="273">
        <v>0</v>
      </c>
      <c r="G97" s="273">
        <v>0</v>
      </c>
      <c r="H97" s="273">
        <v>0</v>
      </c>
      <c r="I97" s="273">
        <v>0</v>
      </c>
      <c r="J97" s="273">
        <v>0</v>
      </c>
      <c r="K97" s="273">
        <v>0</v>
      </c>
      <c r="L97" s="273">
        <v>0</v>
      </c>
      <c r="M97" s="273">
        <v>0</v>
      </c>
      <c r="N97" s="273">
        <v>0</v>
      </c>
      <c r="O97" s="273">
        <v>0</v>
      </c>
      <c r="P97" s="273">
        <v>0</v>
      </c>
      <c r="Q97" s="273">
        <v>0</v>
      </c>
      <c r="R97" s="273">
        <v>0</v>
      </c>
      <c r="S97" s="273"/>
      <c r="T97" s="273"/>
    </row>
    <row r="98" spans="1:20" s="268" customFormat="1" ht="28.5" customHeight="1" x14ac:dyDescent="0.2">
      <c r="A98" s="271" t="s">
        <v>207</v>
      </c>
      <c r="B98" s="274" t="s">
        <v>208</v>
      </c>
      <c r="C98" s="273"/>
      <c r="D98" s="272">
        <v>200</v>
      </c>
      <c r="E98" s="272">
        <v>3.7</v>
      </c>
      <c r="F98" s="272">
        <v>2.5</v>
      </c>
      <c r="G98" s="272">
        <v>24.4</v>
      </c>
      <c r="H98" s="272">
        <v>135.07</v>
      </c>
      <c r="I98" s="272">
        <v>204.5</v>
      </c>
      <c r="J98" s="272">
        <v>125.7</v>
      </c>
      <c r="K98" s="272">
        <v>29.92</v>
      </c>
      <c r="L98" s="272">
        <v>113.2</v>
      </c>
      <c r="M98" s="272">
        <v>0.98</v>
      </c>
      <c r="N98" s="272">
        <v>0.2</v>
      </c>
      <c r="O98" s="272">
        <v>0.02</v>
      </c>
      <c r="P98" s="272">
        <v>0.08</v>
      </c>
      <c r="Q98" s="272">
        <v>0.08</v>
      </c>
      <c r="R98" s="272">
        <v>0.38</v>
      </c>
      <c r="S98" s="272"/>
      <c r="T98" s="272"/>
    </row>
    <row r="99" spans="1:20" x14ac:dyDescent="0.2">
      <c r="A99" s="271"/>
      <c r="B99" s="281" t="s">
        <v>209</v>
      </c>
      <c r="C99" s="273">
        <v>4</v>
      </c>
      <c r="D99" s="273">
        <v>4</v>
      </c>
      <c r="E99" s="273">
        <v>1</v>
      </c>
      <c r="F99" s="273">
        <v>0.6</v>
      </c>
      <c r="G99" s="273">
        <v>0.4</v>
      </c>
      <c r="H99" s="273">
        <v>11.6</v>
      </c>
      <c r="I99" s="273">
        <v>60</v>
      </c>
      <c r="J99" s="273">
        <v>5.12</v>
      </c>
      <c r="K99" s="273">
        <v>17</v>
      </c>
      <c r="L99" s="273">
        <v>26.2</v>
      </c>
      <c r="M99" s="273">
        <v>0.9</v>
      </c>
      <c r="N99" s="273">
        <v>0.12</v>
      </c>
      <c r="O99" s="273">
        <v>0</v>
      </c>
      <c r="P99" s="273">
        <v>0</v>
      </c>
      <c r="Q99" s="273">
        <v>0</v>
      </c>
      <c r="R99" s="273">
        <v>0</v>
      </c>
      <c r="S99" s="273"/>
      <c r="T99" s="273"/>
    </row>
    <row r="100" spans="1:20" ht="25.5" x14ac:dyDescent="0.2">
      <c r="A100" s="271"/>
      <c r="B100" s="281" t="s">
        <v>210</v>
      </c>
      <c r="C100" s="273">
        <v>38</v>
      </c>
      <c r="D100" s="273">
        <v>38</v>
      </c>
      <c r="E100" s="273">
        <v>2.7</v>
      </c>
      <c r="F100" s="273">
        <v>1.9</v>
      </c>
      <c r="G100" s="273">
        <v>21</v>
      </c>
      <c r="H100" s="273">
        <v>112.1</v>
      </c>
      <c r="I100" s="273">
        <v>144.4</v>
      </c>
      <c r="J100" s="273">
        <v>120.5</v>
      </c>
      <c r="K100" s="273">
        <v>12.92</v>
      </c>
      <c r="L100" s="273">
        <v>87</v>
      </c>
      <c r="M100" s="273">
        <v>0.08</v>
      </c>
      <c r="N100" s="273">
        <v>0.08</v>
      </c>
      <c r="O100" s="273">
        <v>0.02</v>
      </c>
      <c r="P100" s="273">
        <v>0.08</v>
      </c>
      <c r="Q100" s="273">
        <v>0.08</v>
      </c>
      <c r="R100" s="273">
        <v>0.38</v>
      </c>
      <c r="S100" s="273"/>
      <c r="T100" s="273"/>
    </row>
    <row r="101" spans="1:20" x14ac:dyDescent="0.2">
      <c r="A101" s="271"/>
      <c r="B101" s="281" t="s">
        <v>30</v>
      </c>
      <c r="C101" s="273">
        <v>3</v>
      </c>
      <c r="D101" s="273">
        <v>3</v>
      </c>
      <c r="E101" s="273">
        <v>0</v>
      </c>
      <c r="F101" s="273">
        <v>0</v>
      </c>
      <c r="G101" s="273">
        <v>3</v>
      </c>
      <c r="H101" s="273">
        <v>11.37</v>
      </c>
      <c r="I101" s="273">
        <v>0.09</v>
      </c>
      <c r="J101" s="273">
        <v>0.08</v>
      </c>
      <c r="K101" s="273">
        <v>0</v>
      </c>
      <c r="L101" s="273">
        <v>0</v>
      </c>
      <c r="M101" s="273">
        <v>0</v>
      </c>
      <c r="N101" s="273">
        <v>0</v>
      </c>
      <c r="O101" s="273">
        <v>0</v>
      </c>
      <c r="P101" s="273">
        <v>0</v>
      </c>
      <c r="Q101" s="273">
        <v>0</v>
      </c>
      <c r="R101" s="273">
        <v>0</v>
      </c>
      <c r="S101" s="273"/>
      <c r="T101" s="273"/>
    </row>
    <row r="102" spans="1:20" x14ac:dyDescent="0.2">
      <c r="A102" s="271"/>
      <c r="B102" s="281" t="s">
        <v>35</v>
      </c>
      <c r="C102" s="273">
        <v>176</v>
      </c>
      <c r="D102" s="273">
        <v>176</v>
      </c>
      <c r="E102" s="273">
        <v>0</v>
      </c>
      <c r="F102" s="273">
        <v>0</v>
      </c>
      <c r="G102" s="273">
        <v>0</v>
      </c>
      <c r="H102" s="273">
        <v>0</v>
      </c>
      <c r="I102" s="273">
        <v>0</v>
      </c>
      <c r="J102" s="273">
        <v>0</v>
      </c>
      <c r="K102" s="273">
        <v>0</v>
      </c>
      <c r="L102" s="273">
        <v>0</v>
      </c>
      <c r="M102" s="273">
        <v>0</v>
      </c>
      <c r="N102" s="273">
        <v>0</v>
      </c>
      <c r="O102" s="273">
        <v>0</v>
      </c>
      <c r="P102" s="273">
        <v>0</v>
      </c>
      <c r="Q102" s="273">
        <v>0</v>
      </c>
      <c r="R102" s="273">
        <v>0</v>
      </c>
      <c r="S102" s="273"/>
      <c r="T102" s="273"/>
    </row>
    <row r="103" spans="1:20" s="269" customFormat="1" x14ac:dyDescent="0.2">
      <c r="A103" s="272"/>
      <c r="B103" s="272" t="s">
        <v>211</v>
      </c>
      <c r="C103" s="272"/>
      <c r="D103" s="272"/>
      <c r="E103" s="272">
        <f>E98+E91</f>
        <v>10.8</v>
      </c>
      <c r="F103" s="272">
        <f t="shared" ref="F103:Q103" si="9">F98+F91</f>
        <v>13.95</v>
      </c>
      <c r="G103" s="272">
        <f t="shared" si="9"/>
        <v>85.19</v>
      </c>
      <c r="H103" s="272">
        <f t="shared" si="9"/>
        <v>503.87</v>
      </c>
      <c r="I103" s="272">
        <f t="shared" si="9"/>
        <v>326.5</v>
      </c>
      <c r="J103" s="272">
        <f t="shared" si="9"/>
        <v>145.6</v>
      </c>
      <c r="K103" s="272">
        <f t="shared" si="9"/>
        <v>60.06</v>
      </c>
      <c r="L103" s="272">
        <f t="shared" si="9"/>
        <v>193.5</v>
      </c>
      <c r="M103" s="272">
        <f t="shared" si="9"/>
        <v>2.38</v>
      </c>
      <c r="N103" s="272">
        <f t="shared" si="9"/>
        <v>0.2</v>
      </c>
      <c r="O103" s="272">
        <f t="shared" si="9"/>
        <v>0.12000000000000001</v>
      </c>
      <c r="P103" s="272">
        <f t="shared" si="9"/>
        <v>0.08</v>
      </c>
      <c r="Q103" s="272">
        <f t="shared" si="9"/>
        <v>0.88</v>
      </c>
      <c r="R103" s="272">
        <f>R98+R91</f>
        <v>0.52</v>
      </c>
      <c r="S103" s="272"/>
      <c r="T103" s="272"/>
    </row>
    <row r="104" spans="1:20" x14ac:dyDescent="0.2">
      <c r="A104" s="271"/>
      <c r="B104" s="277" t="s">
        <v>60</v>
      </c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</row>
    <row r="105" spans="1:20" ht="50.25" customHeight="1" x14ac:dyDescent="0.2">
      <c r="A105" s="286" t="s">
        <v>212</v>
      </c>
      <c r="B105" s="292" t="s">
        <v>213</v>
      </c>
      <c r="C105" s="296" t="s">
        <v>214</v>
      </c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153"/>
      <c r="O105" s="42"/>
      <c r="P105" s="42"/>
      <c r="Q105" s="42"/>
      <c r="R105" s="42"/>
      <c r="S105" s="42"/>
      <c r="T105" s="42"/>
    </row>
    <row r="106" spans="1:20" ht="16.5" customHeight="1" x14ac:dyDescent="0.2">
      <c r="A106" s="286"/>
      <c r="B106" s="295" t="s">
        <v>215</v>
      </c>
      <c r="C106" s="296">
        <v>94</v>
      </c>
      <c r="D106" s="296">
        <v>92</v>
      </c>
      <c r="E106" s="296">
        <v>23</v>
      </c>
      <c r="F106" s="296">
        <v>12.4</v>
      </c>
      <c r="G106" s="296">
        <v>2.76</v>
      </c>
      <c r="H106" s="296">
        <v>214.3</v>
      </c>
      <c r="I106" s="296">
        <v>154.6</v>
      </c>
      <c r="J106" s="296">
        <v>226.3</v>
      </c>
      <c r="K106" s="296">
        <v>31.74</v>
      </c>
      <c r="L106" s="296">
        <v>303.60000000000002</v>
      </c>
      <c r="M106" s="296">
        <v>0.55000000000000004</v>
      </c>
      <c r="N106" s="296">
        <v>0.11</v>
      </c>
      <c r="O106" s="296">
        <v>0</v>
      </c>
      <c r="P106" s="296">
        <v>0.41</v>
      </c>
      <c r="Q106" s="296">
        <v>0.55000000000000004</v>
      </c>
      <c r="R106" s="296">
        <v>0.69</v>
      </c>
      <c r="S106" s="296"/>
      <c r="T106" s="296"/>
    </row>
    <row r="107" spans="1:20" x14ac:dyDescent="0.2">
      <c r="A107" s="286"/>
      <c r="B107" s="295" t="s">
        <v>216</v>
      </c>
      <c r="C107" s="296">
        <v>6</v>
      </c>
      <c r="D107" s="296">
        <v>6</v>
      </c>
      <c r="E107" s="296">
        <v>0.93</v>
      </c>
      <c r="F107" s="296">
        <v>0</v>
      </c>
      <c r="G107" s="296">
        <v>6.11</v>
      </c>
      <c r="H107" s="296">
        <v>29.52</v>
      </c>
      <c r="I107" s="296">
        <v>10.8</v>
      </c>
      <c r="J107" s="296">
        <v>1.8</v>
      </c>
      <c r="K107" s="296">
        <v>2.7</v>
      </c>
      <c r="L107" s="296">
        <v>7.56</v>
      </c>
      <c r="M107" s="296">
        <v>0.2</v>
      </c>
      <c r="N107" s="296">
        <v>0</v>
      </c>
      <c r="O107" s="296">
        <v>0</v>
      </c>
      <c r="P107" s="296">
        <v>0</v>
      </c>
      <c r="Q107" s="296">
        <v>0</v>
      </c>
      <c r="R107" s="296">
        <v>0</v>
      </c>
      <c r="S107" s="296"/>
      <c r="T107" s="296"/>
    </row>
    <row r="108" spans="1:20" x14ac:dyDescent="0.2">
      <c r="A108" s="286"/>
      <c r="B108" s="295" t="s">
        <v>30</v>
      </c>
      <c r="C108" s="296">
        <v>8</v>
      </c>
      <c r="D108" s="296">
        <v>8</v>
      </c>
      <c r="E108" s="296">
        <v>0</v>
      </c>
      <c r="F108" s="296">
        <v>0</v>
      </c>
      <c r="G108" s="296">
        <v>12</v>
      </c>
      <c r="H108" s="296">
        <v>45.5</v>
      </c>
      <c r="I108" s="296">
        <v>0.36</v>
      </c>
      <c r="J108" s="296">
        <v>0.35</v>
      </c>
      <c r="K108" s="296">
        <v>0</v>
      </c>
      <c r="L108" s="296">
        <v>0</v>
      </c>
      <c r="M108" s="296">
        <v>0</v>
      </c>
      <c r="N108" s="296">
        <v>0</v>
      </c>
      <c r="O108" s="296">
        <v>0</v>
      </c>
      <c r="P108" s="296">
        <v>0</v>
      </c>
      <c r="Q108" s="296">
        <v>0</v>
      </c>
      <c r="R108" s="296">
        <v>0</v>
      </c>
      <c r="S108" s="296"/>
      <c r="T108" s="296"/>
    </row>
    <row r="109" spans="1:20" x14ac:dyDescent="0.2">
      <c r="A109" s="286"/>
      <c r="B109" s="295" t="s">
        <v>46</v>
      </c>
      <c r="C109" s="296">
        <v>1</v>
      </c>
      <c r="D109" s="296">
        <v>1</v>
      </c>
      <c r="E109" s="296">
        <v>0</v>
      </c>
      <c r="F109" s="296">
        <v>0</v>
      </c>
      <c r="G109" s="296">
        <v>0</v>
      </c>
      <c r="H109" s="296">
        <v>0</v>
      </c>
      <c r="I109" s="296">
        <v>0</v>
      </c>
      <c r="J109" s="296">
        <v>0</v>
      </c>
      <c r="K109" s="296">
        <v>0</v>
      </c>
      <c r="L109" s="296">
        <v>0</v>
      </c>
      <c r="M109" s="296">
        <v>0</v>
      </c>
      <c r="N109" s="296">
        <v>0</v>
      </c>
      <c r="O109" s="296">
        <v>0</v>
      </c>
      <c r="P109" s="296">
        <v>0</v>
      </c>
      <c r="Q109" s="296">
        <v>0</v>
      </c>
      <c r="R109" s="296">
        <v>0</v>
      </c>
      <c r="S109" s="296"/>
      <c r="T109" s="296"/>
    </row>
    <row r="110" spans="1:20" x14ac:dyDescent="0.2">
      <c r="A110" s="286"/>
      <c r="B110" s="295" t="s">
        <v>217</v>
      </c>
      <c r="C110" s="296">
        <v>4</v>
      </c>
      <c r="D110" s="296">
        <v>4</v>
      </c>
      <c r="E110" s="296">
        <v>0.76</v>
      </c>
      <c r="F110" s="296">
        <v>0.69</v>
      </c>
      <c r="G110" s="296">
        <v>0</v>
      </c>
      <c r="H110" s="296">
        <v>9.42</v>
      </c>
      <c r="I110" s="296">
        <v>8.4</v>
      </c>
      <c r="J110" s="296">
        <v>3.3</v>
      </c>
      <c r="K110" s="296">
        <v>0.72</v>
      </c>
      <c r="L110" s="296">
        <v>11.52</v>
      </c>
      <c r="M110" s="296">
        <v>0.15</v>
      </c>
      <c r="N110" s="296">
        <v>0</v>
      </c>
      <c r="O110" s="296">
        <v>0</v>
      </c>
      <c r="P110" s="296">
        <v>0</v>
      </c>
      <c r="Q110" s="296">
        <v>0</v>
      </c>
      <c r="R110" s="296">
        <v>0</v>
      </c>
      <c r="S110" s="296"/>
      <c r="T110" s="296"/>
    </row>
    <row r="111" spans="1:20" ht="25.5" x14ac:dyDescent="0.2">
      <c r="A111" s="286"/>
      <c r="B111" s="295" t="s">
        <v>37</v>
      </c>
      <c r="C111" s="296">
        <v>4</v>
      </c>
      <c r="D111" s="296">
        <v>4</v>
      </c>
      <c r="E111" s="296">
        <v>0</v>
      </c>
      <c r="F111" s="296">
        <v>4.3499999999999996</v>
      </c>
      <c r="G111" s="296">
        <v>0</v>
      </c>
      <c r="H111" s="296">
        <v>39.700000000000003</v>
      </c>
      <c r="I111" s="296">
        <v>1.38</v>
      </c>
      <c r="J111" s="296">
        <v>1.36</v>
      </c>
      <c r="K111" s="296">
        <v>0.18</v>
      </c>
      <c r="L111" s="296">
        <v>1.1399999999999999</v>
      </c>
      <c r="M111" s="296">
        <v>0</v>
      </c>
      <c r="N111" s="296">
        <v>0</v>
      </c>
      <c r="O111" s="296">
        <v>0</v>
      </c>
      <c r="P111" s="296">
        <v>0</v>
      </c>
      <c r="Q111" s="296">
        <v>0</v>
      </c>
      <c r="R111" s="296">
        <v>0</v>
      </c>
      <c r="S111" s="296"/>
      <c r="T111" s="296"/>
    </row>
    <row r="112" spans="1:20" x14ac:dyDescent="0.2">
      <c r="A112" s="286"/>
      <c r="B112" s="295" t="s">
        <v>104</v>
      </c>
      <c r="C112" s="296">
        <v>4</v>
      </c>
      <c r="D112" s="296">
        <v>4</v>
      </c>
      <c r="E112" s="296">
        <v>0.46</v>
      </c>
      <c r="F112" s="296">
        <v>0.18</v>
      </c>
      <c r="G112" s="296">
        <v>3</v>
      </c>
      <c r="H112" s="296">
        <v>15.72</v>
      </c>
      <c r="I112" s="296">
        <v>7.62</v>
      </c>
      <c r="J112" s="296">
        <v>1.56</v>
      </c>
      <c r="K112" s="296">
        <v>2.1</v>
      </c>
      <c r="L112" s="296">
        <v>5</v>
      </c>
      <c r="M112" s="296">
        <v>0.1</v>
      </c>
      <c r="N112" s="296">
        <v>0</v>
      </c>
      <c r="O112" s="296">
        <v>0</v>
      </c>
      <c r="P112" s="296">
        <v>0</v>
      </c>
      <c r="Q112" s="296">
        <v>0.1</v>
      </c>
      <c r="R112" s="296">
        <v>0</v>
      </c>
      <c r="S112" s="296"/>
      <c r="T112" s="296"/>
    </row>
    <row r="113" spans="1:20" x14ac:dyDescent="0.2">
      <c r="A113" s="286"/>
      <c r="B113" s="295" t="s">
        <v>218</v>
      </c>
      <c r="C113" s="296">
        <v>4</v>
      </c>
      <c r="D113" s="296">
        <v>4</v>
      </c>
      <c r="E113" s="296">
        <v>0.15</v>
      </c>
      <c r="F113" s="296">
        <v>0.9</v>
      </c>
      <c r="G113" s="296">
        <v>0.2</v>
      </c>
      <c r="H113" s="296">
        <v>12.36</v>
      </c>
      <c r="I113" s="296">
        <v>6.54</v>
      </c>
      <c r="J113" s="296">
        <v>5.16</v>
      </c>
      <c r="K113" s="296">
        <v>0.48</v>
      </c>
      <c r="L113" s="296">
        <v>3.6</v>
      </c>
      <c r="M113" s="296">
        <v>0</v>
      </c>
      <c r="N113" s="296">
        <v>0</v>
      </c>
      <c r="O113" s="296">
        <v>0</v>
      </c>
      <c r="P113" s="296">
        <v>0</v>
      </c>
      <c r="Q113" s="296">
        <v>0</v>
      </c>
      <c r="R113" s="296">
        <v>0</v>
      </c>
      <c r="S113" s="296"/>
      <c r="T113" s="296"/>
    </row>
    <row r="114" spans="1:20" x14ac:dyDescent="0.2">
      <c r="A114" s="286"/>
      <c r="B114" s="295" t="s">
        <v>219</v>
      </c>
      <c r="C114" s="296">
        <v>40</v>
      </c>
      <c r="D114" s="296">
        <v>40</v>
      </c>
      <c r="E114" s="296">
        <v>2.84</v>
      </c>
      <c r="F114" s="296">
        <v>2</v>
      </c>
      <c r="G114" s="296">
        <v>22</v>
      </c>
      <c r="H114" s="296">
        <v>118</v>
      </c>
      <c r="I114" s="296">
        <v>152</v>
      </c>
      <c r="J114" s="296">
        <v>126.8</v>
      </c>
      <c r="K114" s="296">
        <v>13.6</v>
      </c>
      <c r="L114" s="296">
        <v>91.6</v>
      </c>
      <c r="M114" s="296">
        <v>0.08</v>
      </c>
      <c r="N114" s="296">
        <v>0.01</v>
      </c>
      <c r="O114" s="296">
        <v>2.4E-2</v>
      </c>
      <c r="P114" s="296">
        <v>0.08</v>
      </c>
      <c r="Q114" s="296">
        <v>8.0000000000000002E-3</v>
      </c>
      <c r="R114" s="296">
        <v>0.4</v>
      </c>
      <c r="S114" s="296"/>
      <c r="T114" s="296"/>
    </row>
    <row r="115" spans="1:20" x14ac:dyDescent="0.2">
      <c r="A115" s="286"/>
      <c r="B115" s="295" t="s">
        <v>77</v>
      </c>
      <c r="C115" s="296"/>
      <c r="D115" s="296"/>
      <c r="E115" s="296">
        <v>28.14</v>
      </c>
      <c r="F115" s="296">
        <v>20.52</v>
      </c>
      <c r="G115" s="296">
        <v>46.15</v>
      </c>
      <c r="H115" s="296">
        <v>484.52</v>
      </c>
      <c r="I115" s="296">
        <v>341.7</v>
      </c>
      <c r="J115" s="296">
        <v>366.63</v>
      </c>
      <c r="K115" s="296">
        <v>51.52</v>
      </c>
      <c r="L115" s="296">
        <v>424.02</v>
      </c>
      <c r="M115" s="296">
        <v>1.08</v>
      </c>
      <c r="N115" s="296">
        <v>0.12</v>
      </c>
      <c r="O115" s="296">
        <v>2.4E-2</v>
      </c>
      <c r="P115" s="296">
        <v>0.49</v>
      </c>
      <c r="Q115" s="296">
        <v>0.65800000000000003</v>
      </c>
      <c r="R115" s="296">
        <v>1.0900000000000001</v>
      </c>
      <c r="S115" s="296"/>
      <c r="T115" s="296"/>
    </row>
    <row r="116" spans="1:20" ht="12.75" customHeight="1" x14ac:dyDescent="0.2">
      <c r="A116" s="328" t="s">
        <v>175</v>
      </c>
      <c r="B116" s="272" t="s">
        <v>220</v>
      </c>
      <c r="C116" s="298" t="s">
        <v>177</v>
      </c>
      <c r="D116" s="298"/>
      <c r="E116" s="298">
        <v>0.1</v>
      </c>
      <c r="F116" s="298">
        <v>0</v>
      </c>
      <c r="G116" s="298">
        <v>15.2</v>
      </c>
      <c r="H116" s="298">
        <v>60</v>
      </c>
      <c r="I116" s="298">
        <v>24.3</v>
      </c>
      <c r="J116" s="298">
        <v>5.7</v>
      </c>
      <c r="K116" s="298">
        <v>3</v>
      </c>
      <c r="L116" s="298">
        <v>5.6</v>
      </c>
      <c r="M116" s="298">
        <v>0.4</v>
      </c>
      <c r="N116" s="298">
        <v>0</v>
      </c>
      <c r="O116" s="298">
        <v>0</v>
      </c>
      <c r="P116" s="298">
        <v>0</v>
      </c>
      <c r="Q116" s="298">
        <v>0</v>
      </c>
      <c r="R116" s="298">
        <v>2.8</v>
      </c>
      <c r="S116" s="298"/>
      <c r="T116" s="298"/>
    </row>
    <row r="117" spans="1:20" x14ac:dyDescent="0.2">
      <c r="A117" s="329"/>
      <c r="B117" s="273" t="s">
        <v>178</v>
      </c>
      <c r="C117" s="273">
        <v>50</v>
      </c>
      <c r="D117" s="273">
        <v>50</v>
      </c>
      <c r="E117" s="273">
        <v>0.1</v>
      </c>
      <c r="F117" s="273">
        <v>0</v>
      </c>
      <c r="G117" s="273">
        <v>0</v>
      </c>
      <c r="H117" s="273">
        <v>0.8</v>
      </c>
      <c r="I117" s="273">
        <v>12.4</v>
      </c>
      <c r="J117" s="273">
        <v>2.5</v>
      </c>
      <c r="K117" s="273">
        <v>2.2000000000000002</v>
      </c>
      <c r="L117" s="273">
        <v>4.0999999999999996</v>
      </c>
      <c r="M117" s="273">
        <v>0.4</v>
      </c>
      <c r="N117" s="273">
        <v>0</v>
      </c>
      <c r="O117" s="273">
        <v>0</v>
      </c>
      <c r="P117" s="273">
        <v>0</v>
      </c>
      <c r="Q117" s="273">
        <v>0</v>
      </c>
      <c r="R117" s="273">
        <v>0</v>
      </c>
      <c r="S117" s="273"/>
      <c r="T117" s="273"/>
    </row>
    <row r="118" spans="1:20" x14ac:dyDescent="0.2">
      <c r="A118" s="273"/>
      <c r="B118" s="273" t="s">
        <v>30</v>
      </c>
      <c r="C118" s="273">
        <v>15</v>
      </c>
      <c r="D118" s="273">
        <v>15</v>
      </c>
      <c r="E118" s="273">
        <v>0</v>
      </c>
      <c r="F118" s="273">
        <v>0</v>
      </c>
      <c r="G118" s="273">
        <v>15</v>
      </c>
      <c r="H118" s="273">
        <v>56.8</v>
      </c>
      <c r="I118" s="273">
        <v>0.5</v>
      </c>
      <c r="J118" s="273">
        <v>0.4</v>
      </c>
      <c r="K118" s="273">
        <v>0</v>
      </c>
      <c r="L118" s="273">
        <v>0</v>
      </c>
      <c r="M118" s="273">
        <v>0</v>
      </c>
      <c r="N118" s="273">
        <v>0</v>
      </c>
      <c r="O118" s="273">
        <v>0</v>
      </c>
      <c r="P118" s="273">
        <v>0</v>
      </c>
      <c r="Q118" s="273">
        <v>0</v>
      </c>
      <c r="R118" s="273">
        <v>0</v>
      </c>
      <c r="S118" s="273"/>
      <c r="T118" s="273"/>
    </row>
    <row r="119" spans="1:20" x14ac:dyDescent="0.2">
      <c r="A119" s="273"/>
      <c r="B119" s="273" t="s">
        <v>179</v>
      </c>
      <c r="C119" s="273">
        <v>8</v>
      </c>
      <c r="D119" s="273">
        <v>7</v>
      </c>
      <c r="E119" s="273">
        <v>0</v>
      </c>
      <c r="F119" s="273">
        <v>0</v>
      </c>
      <c r="G119" s="273">
        <v>0.2</v>
      </c>
      <c r="H119" s="273">
        <v>2.4</v>
      </c>
      <c r="I119" s="273">
        <v>11.4</v>
      </c>
      <c r="J119" s="273">
        <v>2.8</v>
      </c>
      <c r="K119" s="273">
        <v>0.8</v>
      </c>
      <c r="L119" s="273">
        <v>1.5</v>
      </c>
      <c r="M119" s="273">
        <v>0</v>
      </c>
      <c r="N119" s="273">
        <v>0</v>
      </c>
      <c r="O119" s="273">
        <v>0</v>
      </c>
      <c r="P119" s="273">
        <v>0</v>
      </c>
      <c r="Q119" s="273">
        <v>0</v>
      </c>
      <c r="R119" s="273">
        <v>2.8</v>
      </c>
      <c r="S119" s="273"/>
      <c r="T119" s="273"/>
    </row>
    <row r="120" spans="1:20" x14ac:dyDescent="0.2">
      <c r="A120" s="273"/>
      <c r="B120" s="273" t="s">
        <v>35</v>
      </c>
      <c r="C120" s="273">
        <v>150</v>
      </c>
      <c r="D120" s="273">
        <v>150</v>
      </c>
      <c r="E120" s="273">
        <v>0</v>
      </c>
      <c r="F120" s="273">
        <v>0</v>
      </c>
      <c r="G120" s="273">
        <v>0</v>
      </c>
      <c r="H120" s="273">
        <v>0</v>
      </c>
      <c r="I120" s="273">
        <v>0</v>
      </c>
      <c r="J120" s="273">
        <v>0</v>
      </c>
      <c r="K120" s="273">
        <v>0</v>
      </c>
      <c r="L120" s="273">
        <v>0</v>
      </c>
      <c r="M120" s="273">
        <v>0</v>
      </c>
      <c r="N120" s="273">
        <v>0</v>
      </c>
      <c r="O120" s="273">
        <v>0</v>
      </c>
      <c r="P120" s="273">
        <v>0</v>
      </c>
      <c r="Q120" s="273">
        <v>0</v>
      </c>
      <c r="R120" s="273">
        <v>0</v>
      </c>
      <c r="S120" s="273"/>
      <c r="T120" s="273"/>
    </row>
    <row r="121" spans="1:20" s="269" customFormat="1" x14ac:dyDescent="0.2">
      <c r="A121" s="272"/>
      <c r="B121" s="272" t="s">
        <v>211</v>
      </c>
      <c r="C121" s="272"/>
      <c r="D121" s="272"/>
      <c r="E121" s="272">
        <f t="shared" ref="E121:R121" si="10">E116+E105</f>
        <v>0.1</v>
      </c>
      <c r="F121" s="272">
        <f t="shared" si="10"/>
        <v>0</v>
      </c>
      <c r="G121" s="272">
        <f t="shared" si="10"/>
        <v>15.2</v>
      </c>
      <c r="H121" s="272">
        <f t="shared" si="10"/>
        <v>60</v>
      </c>
      <c r="I121" s="272">
        <f t="shared" si="10"/>
        <v>24.3</v>
      </c>
      <c r="J121" s="272">
        <f t="shared" si="10"/>
        <v>5.7</v>
      </c>
      <c r="K121" s="272">
        <f t="shared" si="10"/>
        <v>3</v>
      </c>
      <c r="L121" s="272">
        <f t="shared" si="10"/>
        <v>5.6</v>
      </c>
      <c r="M121" s="272">
        <f t="shared" si="10"/>
        <v>0.4</v>
      </c>
      <c r="N121" s="272">
        <f t="shared" si="10"/>
        <v>0</v>
      </c>
      <c r="O121" s="272">
        <f t="shared" si="10"/>
        <v>0</v>
      </c>
      <c r="P121" s="272">
        <f t="shared" si="10"/>
        <v>0</v>
      </c>
      <c r="Q121" s="272">
        <f t="shared" si="10"/>
        <v>0</v>
      </c>
      <c r="R121" s="272">
        <f t="shared" si="10"/>
        <v>2.8</v>
      </c>
      <c r="S121" s="272"/>
      <c r="T121" s="272"/>
    </row>
    <row r="122" spans="1:20" x14ac:dyDescent="0.2">
      <c r="A122" s="291"/>
      <c r="B122" s="277" t="s">
        <v>61</v>
      </c>
      <c r="C122" s="273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</row>
    <row r="123" spans="1:20" ht="25.5" x14ac:dyDescent="0.2">
      <c r="A123" s="271" t="s">
        <v>165</v>
      </c>
      <c r="B123" s="274" t="s">
        <v>166</v>
      </c>
      <c r="C123" s="273"/>
      <c r="D123" s="272">
        <v>100</v>
      </c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2"/>
    </row>
    <row r="124" spans="1:20" x14ac:dyDescent="0.2">
      <c r="A124" s="271" t="s">
        <v>167</v>
      </c>
      <c r="B124" s="290" t="s">
        <v>168</v>
      </c>
      <c r="C124" s="273"/>
      <c r="D124" s="275">
        <v>64</v>
      </c>
      <c r="E124" s="273"/>
      <c r="F124" s="273"/>
      <c r="G124" s="284"/>
      <c r="H124" s="284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</row>
    <row r="125" spans="1:20" x14ac:dyDescent="0.2">
      <c r="A125" s="271"/>
      <c r="B125" s="281" t="s">
        <v>169</v>
      </c>
      <c r="C125" s="273">
        <v>42.9</v>
      </c>
      <c r="D125" s="273">
        <v>42.9</v>
      </c>
      <c r="E125" s="273">
        <v>4.37</v>
      </c>
      <c r="F125" s="273">
        <v>0.38</v>
      </c>
      <c r="G125" s="284">
        <v>31.2</v>
      </c>
      <c r="H125" s="284">
        <v>137.30000000000001</v>
      </c>
      <c r="I125" s="273">
        <v>75.7</v>
      </c>
      <c r="J125" s="273">
        <v>10.3</v>
      </c>
      <c r="K125" s="273">
        <v>19</v>
      </c>
      <c r="L125" s="273">
        <v>49.5</v>
      </c>
      <c r="M125" s="273">
        <v>0.9</v>
      </c>
      <c r="N125" s="273">
        <v>0</v>
      </c>
      <c r="O125" s="273">
        <v>0</v>
      </c>
      <c r="P125" s="273">
        <v>0</v>
      </c>
      <c r="Q125" s="273">
        <v>0.52</v>
      </c>
      <c r="R125" s="273">
        <v>0</v>
      </c>
      <c r="S125" s="273"/>
      <c r="T125" s="273"/>
    </row>
    <row r="126" spans="1:20" x14ac:dyDescent="0.2">
      <c r="A126" s="271"/>
      <c r="B126" s="281" t="s">
        <v>170</v>
      </c>
      <c r="C126" s="273">
        <v>6.4</v>
      </c>
      <c r="D126" s="273">
        <v>6.4</v>
      </c>
      <c r="E126" s="273">
        <v>0.8</v>
      </c>
      <c r="F126" s="273">
        <v>0.74</v>
      </c>
      <c r="G126" s="284">
        <v>0.04</v>
      </c>
      <c r="H126" s="284">
        <v>10</v>
      </c>
      <c r="I126" s="273">
        <v>9</v>
      </c>
      <c r="J126" s="273">
        <v>3.5</v>
      </c>
      <c r="K126" s="273">
        <v>0.8</v>
      </c>
      <c r="L126" s="273">
        <v>12.3</v>
      </c>
      <c r="M126" s="273">
        <v>0.16</v>
      </c>
      <c r="N126" s="273">
        <v>0</v>
      </c>
      <c r="O126" s="273">
        <v>0</v>
      </c>
      <c r="P126" s="273">
        <v>0</v>
      </c>
      <c r="Q126" s="273">
        <v>0</v>
      </c>
      <c r="R126" s="273">
        <v>0</v>
      </c>
      <c r="S126" s="273"/>
      <c r="T126" s="273"/>
    </row>
    <row r="127" spans="1:20" ht="15.75" customHeight="1" x14ac:dyDescent="0.2">
      <c r="A127" s="271"/>
      <c r="B127" s="281" t="s">
        <v>171</v>
      </c>
      <c r="C127" s="273">
        <v>4.4000000000000004</v>
      </c>
      <c r="D127" s="273">
        <v>4.4000000000000004</v>
      </c>
      <c r="E127" s="273">
        <v>1.4E-2</v>
      </c>
      <c r="F127" s="273">
        <v>3.9</v>
      </c>
      <c r="G127" s="284">
        <v>0.05</v>
      </c>
      <c r="H127" s="284">
        <v>35.549999999999997</v>
      </c>
      <c r="I127" s="273">
        <v>0.8</v>
      </c>
      <c r="J127" s="273">
        <v>0.9</v>
      </c>
      <c r="K127" s="273">
        <v>0.1</v>
      </c>
      <c r="L127" s="273">
        <v>0.8</v>
      </c>
      <c r="M127" s="273">
        <v>0</v>
      </c>
      <c r="N127" s="273">
        <v>0</v>
      </c>
      <c r="O127" s="273">
        <v>0</v>
      </c>
      <c r="P127" s="273">
        <v>0</v>
      </c>
      <c r="Q127" s="273">
        <v>0</v>
      </c>
      <c r="R127" s="273">
        <v>0</v>
      </c>
      <c r="S127" s="273"/>
      <c r="T127" s="273"/>
    </row>
    <row r="128" spans="1:20" x14ac:dyDescent="0.2">
      <c r="A128" s="271"/>
      <c r="B128" s="281" t="s">
        <v>172</v>
      </c>
      <c r="C128" s="273">
        <v>0.37</v>
      </c>
      <c r="D128" s="273">
        <v>0.37</v>
      </c>
      <c r="E128" s="273">
        <v>0.1</v>
      </c>
      <c r="F128" s="273">
        <v>0.05</v>
      </c>
      <c r="G128" s="284">
        <v>0</v>
      </c>
      <c r="H128" s="284">
        <v>8.1</v>
      </c>
      <c r="I128" s="273">
        <v>0</v>
      </c>
      <c r="J128" s="273">
        <v>0</v>
      </c>
      <c r="K128" s="273">
        <v>0</v>
      </c>
      <c r="L128" s="273">
        <v>0</v>
      </c>
      <c r="M128" s="273">
        <v>0</v>
      </c>
      <c r="N128" s="273">
        <v>0</v>
      </c>
      <c r="O128" s="273">
        <v>0</v>
      </c>
      <c r="P128" s="273">
        <v>0</v>
      </c>
      <c r="Q128" s="273">
        <v>0</v>
      </c>
      <c r="R128" s="273">
        <v>0</v>
      </c>
      <c r="S128" s="273"/>
      <c r="T128" s="273"/>
    </row>
    <row r="129" spans="1:20" x14ac:dyDescent="0.2">
      <c r="A129" s="271"/>
      <c r="B129" s="281" t="s">
        <v>35</v>
      </c>
      <c r="C129" s="273">
        <v>11</v>
      </c>
      <c r="D129" s="273">
        <v>11</v>
      </c>
      <c r="E129" s="273">
        <v>0</v>
      </c>
      <c r="F129" s="273">
        <v>0</v>
      </c>
      <c r="G129" s="284">
        <v>0</v>
      </c>
      <c r="H129" s="284">
        <v>0</v>
      </c>
      <c r="I129" s="273">
        <v>0</v>
      </c>
      <c r="J129" s="273">
        <v>0</v>
      </c>
      <c r="K129" s="273">
        <v>0</v>
      </c>
      <c r="L129" s="273">
        <v>0</v>
      </c>
      <c r="M129" s="273">
        <v>0</v>
      </c>
      <c r="N129" s="273">
        <v>0</v>
      </c>
      <c r="O129" s="273">
        <v>0</v>
      </c>
      <c r="P129" s="273">
        <v>0</v>
      </c>
      <c r="Q129" s="273">
        <v>0</v>
      </c>
      <c r="R129" s="273">
        <v>0</v>
      </c>
      <c r="S129" s="273"/>
      <c r="T129" s="273"/>
    </row>
    <row r="130" spans="1:20" x14ac:dyDescent="0.2">
      <c r="A130" s="271"/>
      <c r="B130" s="281" t="s">
        <v>46</v>
      </c>
      <c r="C130" s="273">
        <v>0.5</v>
      </c>
      <c r="D130" s="273">
        <v>0.5</v>
      </c>
      <c r="E130" s="273">
        <v>0</v>
      </c>
      <c r="F130" s="273">
        <v>0</v>
      </c>
      <c r="G130" s="284">
        <v>0</v>
      </c>
      <c r="H130" s="284">
        <v>0</v>
      </c>
      <c r="I130" s="273">
        <v>0</v>
      </c>
      <c r="J130" s="273">
        <v>0</v>
      </c>
      <c r="K130" s="273">
        <v>0</v>
      </c>
      <c r="L130" s="273">
        <v>0</v>
      </c>
      <c r="M130" s="273">
        <v>0</v>
      </c>
      <c r="N130" s="273">
        <v>0</v>
      </c>
      <c r="O130" s="273">
        <v>0</v>
      </c>
      <c r="P130" s="273">
        <v>0</v>
      </c>
      <c r="Q130" s="273">
        <v>0</v>
      </c>
      <c r="R130" s="273">
        <v>0</v>
      </c>
      <c r="S130" s="273"/>
      <c r="T130" s="273"/>
    </row>
    <row r="131" spans="1:20" ht="25.5" x14ac:dyDescent="0.2">
      <c r="A131" s="271"/>
      <c r="B131" s="281" t="s">
        <v>34</v>
      </c>
      <c r="C131" s="273">
        <v>0.35</v>
      </c>
      <c r="D131" s="273">
        <v>0.35</v>
      </c>
      <c r="E131" s="273">
        <v>0</v>
      </c>
      <c r="F131" s="273">
        <v>0.35</v>
      </c>
      <c r="G131" s="273">
        <v>0</v>
      </c>
      <c r="H131" s="273">
        <v>3.15</v>
      </c>
      <c r="I131" s="273">
        <v>0</v>
      </c>
      <c r="J131" s="273">
        <v>0</v>
      </c>
      <c r="K131" s="273">
        <v>0</v>
      </c>
      <c r="L131" s="273">
        <v>0</v>
      </c>
      <c r="M131" s="273">
        <v>0</v>
      </c>
      <c r="N131" s="273">
        <v>0</v>
      </c>
      <c r="O131" s="273">
        <v>0</v>
      </c>
      <c r="P131" s="273">
        <v>0</v>
      </c>
      <c r="Q131" s="273">
        <v>0</v>
      </c>
      <c r="R131" s="273">
        <v>0</v>
      </c>
      <c r="S131" s="273"/>
      <c r="T131" s="273"/>
    </row>
    <row r="132" spans="1:20" x14ac:dyDescent="0.2">
      <c r="A132" s="271"/>
      <c r="B132" s="281" t="s">
        <v>173</v>
      </c>
      <c r="C132" s="273">
        <v>2.9</v>
      </c>
      <c r="D132" s="273">
        <v>2.9</v>
      </c>
      <c r="E132" s="273">
        <v>0</v>
      </c>
      <c r="F132" s="273">
        <v>0</v>
      </c>
      <c r="G132" s="273">
        <v>3.3</v>
      </c>
      <c r="H132" s="273">
        <v>11.05</v>
      </c>
      <c r="I132" s="273">
        <v>0</v>
      </c>
      <c r="J132" s="273">
        <v>0</v>
      </c>
      <c r="K132" s="273">
        <v>0</v>
      </c>
      <c r="L132" s="273">
        <v>0</v>
      </c>
      <c r="M132" s="273">
        <v>0</v>
      </c>
      <c r="N132" s="273">
        <v>0</v>
      </c>
      <c r="O132" s="273">
        <v>0</v>
      </c>
      <c r="P132" s="273">
        <v>0</v>
      </c>
      <c r="Q132" s="273">
        <v>0</v>
      </c>
      <c r="R132" s="273">
        <v>0</v>
      </c>
      <c r="S132" s="273"/>
      <c r="T132" s="273"/>
    </row>
    <row r="133" spans="1:20" x14ac:dyDescent="0.2">
      <c r="A133" s="279"/>
      <c r="B133" s="290" t="s">
        <v>174</v>
      </c>
      <c r="C133" s="273">
        <v>45.45</v>
      </c>
      <c r="D133" s="273">
        <v>45</v>
      </c>
      <c r="E133" s="273">
        <v>0.18</v>
      </c>
      <c r="F133" s="273">
        <v>0</v>
      </c>
      <c r="G133" s="273">
        <v>29.3</v>
      </c>
      <c r="H133" s="273">
        <v>112.5</v>
      </c>
      <c r="I133" s="273">
        <v>58</v>
      </c>
      <c r="J133" s="273">
        <v>6.3</v>
      </c>
      <c r="K133" s="273">
        <v>3.2</v>
      </c>
      <c r="L133" s="273">
        <v>4</v>
      </c>
      <c r="M133" s="273">
        <v>0.6</v>
      </c>
      <c r="N133" s="273">
        <v>0</v>
      </c>
      <c r="O133" s="273">
        <v>0</v>
      </c>
      <c r="P133" s="273">
        <v>0</v>
      </c>
      <c r="Q133" s="273">
        <v>0</v>
      </c>
      <c r="R133" s="273">
        <v>0.22</v>
      </c>
      <c r="S133" s="273"/>
      <c r="T133" s="273"/>
    </row>
    <row r="134" spans="1:20" s="26" customFormat="1" x14ac:dyDescent="0.2">
      <c r="A134" s="272"/>
      <c r="B134" s="299" t="s">
        <v>47</v>
      </c>
      <c r="C134" s="272"/>
      <c r="D134" s="272"/>
      <c r="E134" s="272">
        <f>SUM(E125:E133)</f>
        <v>5.4639999999999995</v>
      </c>
      <c r="F134" s="272">
        <f t="shared" ref="F134:Q134" si="11">SUM(F125:F133)</f>
        <v>5.419999999999999</v>
      </c>
      <c r="G134" s="272">
        <f t="shared" si="11"/>
        <v>63.89</v>
      </c>
      <c r="H134" s="272">
        <f t="shared" si="11"/>
        <v>317.65000000000003</v>
      </c>
      <c r="I134" s="272">
        <f t="shared" si="11"/>
        <v>143.5</v>
      </c>
      <c r="J134" s="272">
        <f t="shared" si="11"/>
        <v>21</v>
      </c>
      <c r="K134" s="272">
        <f t="shared" si="11"/>
        <v>23.1</v>
      </c>
      <c r="L134" s="272">
        <f t="shared" si="11"/>
        <v>66.599999999999994</v>
      </c>
      <c r="M134" s="272">
        <f t="shared" si="11"/>
        <v>1.6600000000000001</v>
      </c>
      <c r="N134" s="272">
        <f t="shared" si="11"/>
        <v>0</v>
      </c>
      <c r="O134" s="272">
        <f t="shared" si="11"/>
        <v>0</v>
      </c>
      <c r="P134" s="272">
        <f t="shared" si="11"/>
        <v>0</v>
      </c>
      <c r="Q134" s="272">
        <f t="shared" si="11"/>
        <v>0.52</v>
      </c>
      <c r="R134" s="272">
        <f>SUM(R125:R133)</f>
        <v>0.22</v>
      </c>
      <c r="S134" s="272"/>
      <c r="T134" s="272"/>
    </row>
    <row r="135" spans="1:20" s="26" customFormat="1" x14ac:dyDescent="0.2">
      <c r="A135" s="271" t="s">
        <v>24</v>
      </c>
      <c r="B135" s="274" t="s">
        <v>194</v>
      </c>
      <c r="C135" s="272">
        <v>200</v>
      </c>
      <c r="D135" s="272">
        <v>200</v>
      </c>
      <c r="E135" s="272">
        <v>0.86</v>
      </c>
      <c r="F135" s="272">
        <v>0</v>
      </c>
      <c r="G135" s="272">
        <v>28.7</v>
      </c>
      <c r="H135" s="272">
        <v>121.2</v>
      </c>
      <c r="I135" s="272">
        <v>100</v>
      </c>
      <c r="J135" s="272">
        <v>8</v>
      </c>
      <c r="K135" s="272">
        <v>5</v>
      </c>
      <c r="L135" s="272">
        <v>9</v>
      </c>
      <c r="M135" s="272">
        <v>0.2</v>
      </c>
      <c r="N135" s="272">
        <v>0</v>
      </c>
      <c r="O135" s="272">
        <v>0.01</v>
      </c>
      <c r="P135" s="272">
        <v>0.01</v>
      </c>
      <c r="Q135" s="272">
        <v>0.1</v>
      </c>
      <c r="R135" s="272">
        <v>2</v>
      </c>
      <c r="S135" s="272"/>
      <c r="T135" s="272"/>
    </row>
    <row r="136" spans="1:20" s="231" customFormat="1" x14ac:dyDescent="0.2">
      <c r="A136" s="291"/>
      <c r="B136" s="272" t="s">
        <v>164</v>
      </c>
      <c r="C136" s="273"/>
      <c r="D136" s="273"/>
      <c r="E136" s="272">
        <f>E134+E135</f>
        <v>6.3239999999999998</v>
      </c>
      <c r="F136" s="272">
        <f t="shared" ref="F136:Q136" si="12">F134+F135</f>
        <v>5.419999999999999</v>
      </c>
      <c r="G136" s="272">
        <f t="shared" si="12"/>
        <v>92.59</v>
      </c>
      <c r="H136" s="272">
        <f t="shared" si="12"/>
        <v>438.85</v>
      </c>
      <c r="I136" s="272">
        <f t="shared" si="12"/>
        <v>243.5</v>
      </c>
      <c r="J136" s="272">
        <f t="shared" si="12"/>
        <v>29</v>
      </c>
      <c r="K136" s="272">
        <f t="shared" si="12"/>
        <v>28.1</v>
      </c>
      <c r="L136" s="272">
        <f t="shared" si="12"/>
        <v>75.599999999999994</v>
      </c>
      <c r="M136" s="272">
        <f t="shared" si="12"/>
        <v>1.86</v>
      </c>
      <c r="N136" s="272">
        <f t="shared" si="12"/>
        <v>0</v>
      </c>
      <c r="O136" s="272">
        <f t="shared" si="12"/>
        <v>0.01</v>
      </c>
      <c r="P136" s="272">
        <f t="shared" si="12"/>
        <v>0.01</v>
      </c>
      <c r="Q136" s="272">
        <f t="shared" si="12"/>
        <v>0.62</v>
      </c>
      <c r="R136" s="272">
        <f>R134+R135</f>
        <v>2.2200000000000002</v>
      </c>
      <c r="S136" s="272"/>
      <c r="T136" s="272"/>
    </row>
    <row r="137" spans="1:20" x14ac:dyDescent="0.2">
      <c r="A137" s="291"/>
      <c r="B137" s="272"/>
      <c r="C137" s="273"/>
      <c r="D137" s="273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  <c r="S137" s="272"/>
      <c r="T137" s="272"/>
    </row>
    <row r="138" spans="1:20" x14ac:dyDescent="0.2">
      <c r="A138" s="291"/>
      <c r="B138" s="277" t="s">
        <v>63</v>
      </c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</row>
    <row r="139" spans="1:20" s="268" customFormat="1" x14ac:dyDescent="0.2">
      <c r="A139" s="279" t="s">
        <v>180</v>
      </c>
      <c r="B139" s="280" t="s">
        <v>181</v>
      </c>
      <c r="C139" s="273"/>
      <c r="D139" s="272">
        <v>100</v>
      </c>
      <c r="E139" s="272">
        <v>7.34</v>
      </c>
      <c r="F139" s="272">
        <v>11.66</v>
      </c>
      <c r="G139" s="272">
        <v>60.8</v>
      </c>
      <c r="H139" s="272">
        <v>387.8</v>
      </c>
      <c r="I139" s="272">
        <v>125.1</v>
      </c>
      <c r="J139" s="272">
        <v>20.9</v>
      </c>
      <c r="K139" s="272">
        <v>30.37</v>
      </c>
      <c r="L139" s="272">
        <v>83.9</v>
      </c>
      <c r="M139" s="272">
        <v>1.4</v>
      </c>
      <c r="N139" s="272">
        <v>0</v>
      </c>
      <c r="O139" s="272">
        <v>0.1</v>
      </c>
      <c r="P139" s="272">
        <v>0</v>
      </c>
      <c r="Q139" s="272">
        <v>0.8</v>
      </c>
      <c r="R139" s="272">
        <v>0</v>
      </c>
      <c r="S139" s="272"/>
      <c r="T139" s="272"/>
    </row>
    <row r="140" spans="1:20" ht="15.75" customHeight="1" x14ac:dyDescent="0.2">
      <c r="A140" s="271"/>
      <c r="B140" s="281" t="s">
        <v>38</v>
      </c>
      <c r="C140" s="282">
        <v>67.400000000000006</v>
      </c>
      <c r="D140" s="283">
        <v>67.400000000000006</v>
      </c>
      <c r="E140" s="273">
        <v>6.9</v>
      </c>
      <c r="F140" s="273">
        <v>0.7</v>
      </c>
      <c r="G140" s="273">
        <v>46.5</v>
      </c>
      <c r="H140" s="273">
        <v>225.1</v>
      </c>
      <c r="I140" s="278">
        <v>118.6</v>
      </c>
      <c r="J140" s="273">
        <v>16.2</v>
      </c>
      <c r="K140" s="273">
        <v>29.7</v>
      </c>
      <c r="L140" s="284">
        <v>77.5</v>
      </c>
      <c r="M140" s="273">
        <v>1.4</v>
      </c>
      <c r="N140" s="273">
        <v>0</v>
      </c>
      <c r="O140" s="273">
        <v>0.1</v>
      </c>
      <c r="P140" s="273">
        <v>0</v>
      </c>
      <c r="Q140" s="273">
        <v>0.8</v>
      </c>
      <c r="R140" s="273">
        <v>0</v>
      </c>
      <c r="S140" s="273"/>
      <c r="T140" s="273"/>
    </row>
    <row r="141" spans="1:20" x14ac:dyDescent="0.2">
      <c r="A141" s="271"/>
      <c r="B141" s="281" t="s">
        <v>30</v>
      </c>
      <c r="C141" s="282">
        <v>14.2</v>
      </c>
      <c r="D141" s="283">
        <v>14.2</v>
      </c>
      <c r="E141" s="273">
        <v>0</v>
      </c>
      <c r="F141" s="273">
        <v>0</v>
      </c>
      <c r="G141" s="273">
        <v>14.1</v>
      </c>
      <c r="H141" s="273">
        <v>55.8</v>
      </c>
      <c r="I141" s="278">
        <v>0.42</v>
      </c>
      <c r="J141" s="273">
        <v>0.4</v>
      </c>
      <c r="K141" s="273">
        <v>0</v>
      </c>
      <c r="L141" s="284">
        <v>0</v>
      </c>
      <c r="M141" s="273">
        <v>0</v>
      </c>
      <c r="N141" s="273">
        <v>0</v>
      </c>
      <c r="O141" s="273">
        <v>0</v>
      </c>
      <c r="P141" s="273">
        <v>0</v>
      </c>
      <c r="Q141" s="273">
        <v>0</v>
      </c>
      <c r="R141" s="273">
        <v>0</v>
      </c>
      <c r="S141" s="273"/>
      <c r="T141" s="273"/>
    </row>
    <row r="142" spans="1:20" x14ac:dyDescent="0.2">
      <c r="A142" s="271"/>
      <c r="B142" s="281" t="s">
        <v>171</v>
      </c>
      <c r="C142" s="282">
        <v>15</v>
      </c>
      <c r="D142" s="283">
        <v>15</v>
      </c>
      <c r="E142" s="273">
        <v>0.1</v>
      </c>
      <c r="F142" s="273">
        <v>10.7</v>
      </c>
      <c r="G142" s="273">
        <v>0.19</v>
      </c>
      <c r="H142" s="273">
        <v>97.8</v>
      </c>
      <c r="I142" s="278">
        <v>3.4</v>
      </c>
      <c r="J142" s="273">
        <v>3.3</v>
      </c>
      <c r="K142" s="273">
        <v>0.44</v>
      </c>
      <c r="L142" s="284">
        <v>2.8</v>
      </c>
      <c r="M142" s="273">
        <v>0</v>
      </c>
      <c r="N142" s="273">
        <v>0</v>
      </c>
      <c r="O142" s="273">
        <v>0</v>
      </c>
      <c r="P142" s="273">
        <v>0</v>
      </c>
      <c r="Q142" s="273">
        <v>0</v>
      </c>
      <c r="R142" s="273">
        <v>0</v>
      </c>
      <c r="S142" s="273"/>
      <c r="T142" s="273"/>
    </row>
    <row r="143" spans="1:20" x14ac:dyDescent="0.2">
      <c r="A143" s="271"/>
      <c r="B143" s="281" t="s">
        <v>182</v>
      </c>
      <c r="C143" s="282">
        <v>2</v>
      </c>
      <c r="D143" s="283">
        <v>2</v>
      </c>
      <c r="E143" s="273">
        <v>0.24</v>
      </c>
      <c r="F143" s="273">
        <v>0.21</v>
      </c>
      <c r="G143" s="273">
        <v>0</v>
      </c>
      <c r="H143" s="273">
        <v>3</v>
      </c>
      <c r="I143" s="278">
        <v>2.7</v>
      </c>
      <c r="J143" s="273">
        <v>1</v>
      </c>
      <c r="K143" s="273">
        <v>0.23</v>
      </c>
      <c r="L143" s="285">
        <v>3.6</v>
      </c>
      <c r="M143" s="273">
        <v>0</v>
      </c>
      <c r="N143" s="273">
        <v>0</v>
      </c>
      <c r="O143" s="273">
        <v>0</v>
      </c>
      <c r="P143" s="273">
        <v>0</v>
      </c>
      <c r="Q143" s="273">
        <v>0</v>
      </c>
      <c r="R143" s="273">
        <v>0</v>
      </c>
      <c r="S143" s="273"/>
      <c r="T143" s="273"/>
    </row>
    <row r="144" spans="1:20" x14ac:dyDescent="0.2">
      <c r="A144" s="271"/>
      <c r="B144" s="281" t="s">
        <v>46</v>
      </c>
      <c r="C144" s="282">
        <v>0.6</v>
      </c>
      <c r="D144" s="283">
        <v>0.6</v>
      </c>
      <c r="E144" s="273">
        <v>0</v>
      </c>
      <c r="F144" s="273">
        <v>0</v>
      </c>
      <c r="G144" s="273">
        <v>0</v>
      </c>
      <c r="H144" s="273">
        <v>0</v>
      </c>
      <c r="I144" s="278">
        <v>0</v>
      </c>
      <c r="J144" s="273">
        <v>0</v>
      </c>
      <c r="K144" s="273">
        <v>0</v>
      </c>
      <c r="L144" s="284">
        <v>0</v>
      </c>
      <c r="M144" s="273">
        <v>0</v>
      </c>
      <c r="N144" s="273">
        <v>0</v>
      </c>
      <c r="O144" s="273">
        <v>0</v>
      </c>
      <c r="P144" s="273">
        <v>0</v>
      </c>
      <c r="Q144" s="273">
        <v>0</v>
      </c>
      <c r="R144" s="273">
        <v>0</v>
      </c>
      <c r="S144" s="273"/>
      <c r="T144" s="273"/>
    </row>
    <row r="145" spans="1:20" x14ac:dyDescent="0.2">
      <c r="A145" s="271"/>
      <c r="B145" s="281" t="s">
        <v>172</v>
      </c>
      <c r="C145" s="282">
        <v>0.4</v>
      </c>
      <c r="D145" s="283">
        <v>0.4</v>
      </c>
      <c r="E145" s="273">
        <v>0.1</v>
      </c>
      <c r="F145" s="273">
        <v>0.05</v>
      </c>
      <c r="G145" s="273">
        <v>0</v>
      </c>
      <c r="H145" s="273">
        <v>8.1</v>
      </c>
      <c r="I145" s="273">
        <v>0</v>
      </c>
      <c r="J145" s="273">
        <v>0</v>
      </c>
      <c r="K145" s="273">
        <v>0</v>
      </c>
      <c r="L145" s="273">
        <v>0</v>
      </c>
      <c r="M145" s="273">
        <v>0</v>
      </c>
      <c r="N145" s="273">
        <v>0</v>
      </c>
      <c r="O145" s="273">
        <v>0</v>
      </c>
      <c r="P145" s="273">
        <v>0</v>
      </c>
      <c r="Q145" s="273">
        <v>0</v>
      </c>
      <c r="R145" s="273">
        <v>0</v>
      </c>
      <c r="S145" s="273"/>
      <c r="T145" s="273"/>
    </row>
    <row r="146" spans="1:20" x14ac:dyDescent="0.2">
      <c r="A146" s="271"/>
      <c r="B146" s="281" t="s">
        <v>35</v>
      </c>
      <c r="C146" s="282">
        <v>29</v>
      </c>
      <c r="D146" s="283">
        <v>29</v>
      </c>
      <c r="E146" s="273">
        <v>0</v>
      </c>
      <c r="F146" s="273">
        <v>0</v>
      </c>
      <c r="G146" s="273">
        <v>0</v>
      </c>
      <c r="H146" s="273">
        <v>0</v>
      </c>
      <c r="I146" s="273">
        <v>0</v>
      </c>
      <c r="J146" s="273">
        <v>0</v>
      </c>
      <c r="K146" s="273">
        <v>0</v>
      </c>
      <c r="L146" s="273">
        <v>0</v>
      </c>
      <c r="M146" s="273">
        <v>0</v>
      </c>
      <c r="N146" s="273">
        <v>0</v>
      </c>
      <c r="O146" s="273">
        <v>0</v>
      </c>
      <c r="P146" s="273">
        <v>0</v>
      </c>
      <c r="Q146" s="273">
        <v>0</v>
      </c>
      <c r="R146" s="273">
        <v>0</v>
      </c>
      <c r="S146" s="273"/>
      <c r="T146" s="273"/>
    </row>
    <row r="147" spans="1:20" s="268" customFormat="1" x14ac:dyDescent="0.2">
      <c r="A147" s="328" t="s">
        <v>201</v>
      </c>
      <c r="B147" s="272" t="s">
        <v>202</v>
      </c>
      <c r="C147" s="272"/>
      <c r="D147" s="272" t="s">
        <v>75</v>
      </c>
      <c r="E147" s="272">
        <v>1.5</v>
      </c>
      <c r="F147" s="272">
        <v>15.1</v>
      </c>
      <c r="G147" s="272">
        <v>17.350000000000001</v>
      </c>
      <c r="H147" s="272">
        <v>86.6</v>
      </c>
      <c r="I147" s="272">
        <v>85.9</v>
      </c>
      <c r="J147" s="272">
        <v>62.9</v>
      </c>
      <c r="K147" s="272">
        <v>9.1999999999999993</v>
      </c>
      <c r="L147" s="272">
        <v>49.1</v>
      </c>
      <c r="M147" s="272">
        <v>0.45</v>
      </c>
      <c r="N147" s="272">
        <v>0.01</v>
      </c>
      <c r="O147" s="272">
        <v>0.02</v>
      </c>
      <c r="P147" s="272">
        <v>0.35</v>
      </c>
      <c r="Q147" s="272">
        <v>0.05</v>
      </c>
      <c r="R147" s="272">
        <v>0.8</v>
      </c>
      <c r="S147" s="272"/>
      <c r="T147" s="272"/>
    </row>
    <row r="148" spans="1:20" x14ac:dyDescent="0.2">
      <c r="A148" s="329"/>
      <c r="B148" s="273" t="s">
        <v>178</v>
      </c>
      <c r="C148" s="273">
        <v>50</v>
      </c>
      <c r="D148" s="273">
        <v>50</v>
      </c>
      <c r="E148" s="273">
        <v>0.1</v>
      </c>
      <c r="F148" s="273">
        <v>0</v>
      </c>
      <c r="G148" s="273">
        <v>0</v>
      </c>
      <c r="H148" s="273">
        <v>0.8</v>
      </c>
      <c r="I148" s="273">
        <v>12.4</v>
      </c>
      <c r="J148" s="273">
        <v>2.5</v>
      </c>
      <c r="K148" s="273">
        <v>2.2000000000000002</v>
      </c>
      <c r="L148" s="273">
        <v>4.0999999999999996</v>
      </c>
      <c r="M148" s="273">
        <v>0.4</v>
      </c>
      <c r="N148" s="273">
        <v>0</v>
      </c>
      <c r="O148" s="273">
        <v>0</v>
      </c>
      <c r="P148" s="273">
        <v>0</v>
      </c>
      <c r="Q148" s="273">
        <v>0</v>
      </c>
      <c r="R148" s="273">
        <v>0</v>
      </c>
      <c r="S148" s="273"/>
      <c r="T148" s="273"/>
    </row>
    <row r="149" spans="1:20" x14ac:dyDescent="0.2">
      <c r="A149" s="273"/>
      <c r="B149" s="273" t="s">
        <v>30</v>
      </c>
      <c r="C149" s="273">
        <v>15</v>
      </c>
      <c r="D149" s="273">
        <v>15</v>
      </c>
      <c r="E149" s="273">
        <v>0</v>
      </c>
      <c r="F149" s="273">
        <v>0</v>
      </c>
      <c r="G149" s="273">
        <v>15</v>
      </c>
      <c r="H149" s="273">
        <v>56.8</v>
      </c>
      <c r="I149" s="273">
        <v>0.5</v>
      </c>
      <c r="J149" s="273">
        <v>0.4</v>
      </c>
      <c r="K149" s="273">
        <v>0</v>
      </c>
      <c r="L149" s="273">
        <v>0</v>
      </c>
      <c r="M149" s="273">
        <v>0</v>
      </c>
      <c r="N149" s="273">
        <v>0</v>
      </c>
      <c r="O149" s="273">
        <v>0</v>
      </c>
      <c r="P149" s="273">
        <v>0</v>
      </c>
      <c r="Q149" s="273">
        <v>0</v>
      </c>
      <c r="R149" s="273">
        <v>0</v>
      </c>
      <c r="S149" s="273"/>
      <c r="T149" s="273"/>
    </row>
    <row r="150" spans="1:20" x14ac:dyDescent="0.2">
      <c r="A150" s="273"/>
      <c r="B150" s="273" t="s">
        <v>29</v>
      </c>
      <c r="C150" s="273">
        <v>51</v>
      </c>
      <c r="D150" s="273">
        <v>50</v>
      </c>
      <c r="E150" s="273">
        <v>1.4</v>
      </c>
      <c r="F150" s="273">
        <v>15.1</v>
      </c>
      <c r="G150" s="273">
        <v>2.35</v>
      </c>
      <c r="H150" s="273">
        <v>29</v>
      </c>
      <c r="I150" s="273">
        <v>73</v>
      </c>
      <c r="J150" s="273">
        <v>60</v>
      </c>
      <c r="K150" s="273">
        <v>7</v>
      </c>
      <c r="L150" s="273">
        <v>45</v>
      </c>
      <c r="M150" s="273">
        <v>0.05</v>
      </c>
      <c r="N150" s="273">
        <v>0.01</v>
      </c>
      <c r="O150" s="273">
        <v>0.02</v>
      </c>
      <c r="P150" s="273">
        <v>0.35</v>
      </c>
      <c r="Q150" s="273">
        <v>0.05</v>
      </c>
      <c r="R150" s="273">
        <v>0.8</v>
      </c>
      <c r="S150" s="273"/>
      <c r="T150" s="273"/>
    </row>
    <row r="151" spans="1:20" x14ac:dyDescent="0.2">
      <c r="A151" s="273"/>
      <c r="B151" s="273" t="s">
        <v>35</v>
      </c>
      <c r="C151" s="273">
        <v>100</v>
      </c>
      <c r="D151" s="273">
        <v>100</v>
      </c>
      <c r="E151" s="273">
        <v>0</v>
      </c>
      <c r="F151" s="273">
        <v>0</v>
      </c>
      <c r="G151" s="273">
        <v>0</v>
      </c>
      <c r="H151" s="273">
        <v>0</v>
      </c>
      <c r="I151" s="273">
        <v>0</v>
      </c>
      <c r="J151" s="273">
        <v>0</v>
      </c>
      <c r="K151" s="273">
        <v>0</v>
      </c>
      <c r="L151" s="273">
        <v>0</v>
      </c>
      <c r="M151" s="273">
        <v>0</v>
      </c>
      <c r="N151" s="273">
        <v>0</v>
      </c>
      <c r="O151" s="273">
        <v>0</v>
      </c>
      <c r="P151" s="273">
        <v>0</v>
      </c>
      <c r="Q151" s="273">
        <v>0</v>
      </c>
      <c r="R151" s="273">
        <v>0</v>
      </c>
      <c r="S151" s="273"/>
      <c r="T151" s="273"/>
    </row>
    <row r="152" spans="1:20" x14ac:dyDescent="0.2">
      <c r="A152" s="273"/>
      <c r="B152" s="273"/>
      <c r="C152" s="273"/>
      <c r="D152" s="273"/>
      <c r="E152" s="273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</row>
    <row r="153" spans="1:20" s="269" customFormat="1" x14ac:dyDescent="0.2">
      <c r="A153" s="272"/>
      <c r="B153" s="272" t="s">
        <v>164</v>
      </c>
      <c r="C153" s="272"/>
      <c r="D153" s="272"/>
      <c r="E153" s="272">
        <f>E147+E139</f>
        <v>8.84</v>
      </c>
      <c r="F153" s="272">
        <f t="shared" ref="F153:Q153" si="13">F147+F139</f>
        <v>26.759999999999998</v>
      </c>
      <c r="G153" s="272">
        <f t="shared" si="13"/>
        <v>78.150000000000006</v>
      </c>
      <c r="H153" s="272">
        <f t="shared" si="13"/>
        <v>474.4</v>
      </c>
      <c r="I153" s="272">
        <f t="shared" si="13"/>
        <v>211</v>
      </c>
      <c r="J153" s="272">
        <f t="shared" si="13"/>
        <v>83.8</v>
      </c>
      <c r="K153" s="272">
        <f t="shared" si="13"/>
        <v>39.57</v>
      </c>
      <c r="L153" s="272">
        <f t="shared" si="13"/>
        <v>133</v>
      </c>
      <c r="M153" s="272">
        <f t="shared" si="13"/>
        <v>1.8499999999999999</v>
      </c>
      <c r="N153" s="272">
        <f t="shared" si="13"/>
        <v>0.01</v>
      </c>
      <c r="O153" s="272">
        <f t="shared" si="13"/>
        <v>0.12000000000000001</v>
      </c>
      <c r="P153" s="272">
        <f t="shared" si="13"/>
        <v>0.35</v>
      </c>
      <c r="Q153" s="272">
        <f t="shared" si="13"/>
        <v>0.85000000000000009</v>
      </c>
      <c r="R153" s="272">
        <f>R147+R139</f>
        <v>0.8</v>
      </c>
      <c r="S153" s="272"/>
      <c r="T153" s="272"/>
    </row>
    <row r="154" spans="1:20" x14ac:dyDescent="0.2">
      <c r="A154" s="271"/>
      <c r="B154" s="290"/>
      <c r="C154" s="273"/>
      <c r="D154" s="273"/>
      <c r="E154" s="272"/>
      <c r="F154" s="272"/>
      <c r="G154" s="272"/>
      <c r="H154" s="272"/>
      <c r="I154" s="289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</row>
    <row r="155" spans="1:20" x14ac:dyDescent="0.2">
      <c r="A155" s="271"/>
      <c r="B155" s="277" t="s">
        <v>64</v>
      </c>
      <c r="C155" s="300"/>
      <c r="D155" s="300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</row>
    <row r="156" spans="1:20" ht="25.5" x14ac:dyDescent="0.2">
      <c r="A156" s="301" t="s">
        <v>221</v>
      </c>
      <c r="B156" s="302" t="s">
        <v>222</v>
      </c>
      <c r="C156" s="330">
        <v>210</v>
      </c>
      <c r="D156" s="331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</row>
    <row r="157" spans="1:20" x14ac:dyDescent="0.2">
      <c r="A157" s="303"/>
      <c r="B157" s="304" t="s">
        <v>223</v>
      </c>
      <c r="C157" s="282">
        <v>14</v>
      </c>
      <c r="D157" s="282">
        <v>14</v>
      </c>
      <c r="E157" s="273">
        <f>11.5*D157/100</f>
        <v>1.61</v>
      </c>
      <c r="F157" s="273">
        <f>1*D157/100</f>
        <v>0.14000000000000001</v>
      </c>
      <c r="G157" s="273">
        <f>71.4*D157/100</f>
        <v>9.9960000000000022</v>
      </c>
      <c r="H157" s="273">
        <f>330*D157/100</f>
        <v>46.2</v>
      </c>
      <c r="I157" s="273">
        <f>D157*54/100</f>
        <v>7.56</v>
      </c>
      <c r="J157" s="273">
        <f>24*D157/100</f>
        <v>3.36</v>
      </c>
      <c r="K157" s="273">
        <f>21*D157/100</f>
        <v>2.94</v>
      </c>
      <c r="L157" s="273">
        <f>1.8*D157/100</f>
        <v>0.252</v>
      </c>
      <c r="M157" s="273">
        <f>1.8*D157/100</f>
        <v>0.252</v>
      </c>
      <c r="N157" s="273">
        <v>0</v>
      </c>
      <c r="O157" s="273">
        <f>0.08*D157/100</f>
        <v>1.1200000000000002E-2</v>
      </c>
      <c r="P157" s="273">
        <f>0.04*D157/100</f>
        <v>5.6000000000000008E-3</v>
      </c>
      <c r="Q157" s="273">
        <f>1.6*D157/100</f>
        <v>0.22400000000000003</v>
      </c>
      <c r="R157" s="273">
        <v>0</v>
      </c>
      <c r="S157" s="273"/>
      <c r="T157" s="273"/>
    </row>
    <row r="158" spans="1:20" x14ac:dyDescent="0.2">
      <c r="A158" s="303"/>
      <c r="B158" s="304" t="s">
        <v>224</v>
      </c>
      <c r="C158" s="282">
        <v>19</v>
      </c>
      <c r="D158" s="282">
        <v>19</v>
      </c>
      <c r="E158" s="300">
        <f>11.5*D158/100</f>
        <v>2.1850000000000001</v>
      </c>
      <c r="F158" s="300">
        <f>3.33*D158/100</f>
        <v>0.63270000000000004</v>
      </c>
      <c r="G158" s="300">
        <f>66.5*D158/100</f>
        <v>12.635</v>
      </c>
      <c r="H158" s="300">
        <f>348*D158/100</f>
        <v>66.12</v>
      </c>
      <c r="I158" s="300">
        <f>D158*201/100</f>
        <v>38.19</v>
      </c>
      <c r="J158" s="300">
        <f>27*D158/100</f>
        <v>5.13</v>
      </c>
      <c r="K158" s="300">
        <f>101*D158/100</f>
        <v>19.190000000000001</v>
      </c>
      <c r="L158" s="300">
        <f>7*D158/100</f>
        <v>1.33</v>
      </c>
      <c r="M158" s="300">
        <f>7*D158/100</f>
        <v>1.33</v>
      </c>
      <c r="N158" s="300">
        <f>0.15*D158/100</f>
        <v>2.8500000000000001E-2</v>
      </c>
      <c r="O158" s="300">
        <f>0.62*D158/100</f>
        <v>0.11779999999999999</v>
      </c>
      <c r="P158" s="300">
        <f>0.04*D158/100</f>
        <v>7.6E-3</v>
      </c>
      <c r="Q158" s="300">
        <f>1.55*D158/100</f>
        <v>0.29449999999999998</v>
      </c>
      <c r="R158" s="300">
        <v>0</v>
      </c>
      <c r="S158" s="300"/>
      <c r="T158" s="300"/>
    </row>
    <row r="159" spans="1:20" ht="16.5" customHeight="1" x14ac:dyDescent="0.2">
      <c r="A159" s="303"/>
      <c r="B159" s="304" t="s">
        <v>225</v>
      </c>
      <c r="C159" s="282">
        <v>100</v>
      </c>
      <c r="D159" s="282">
        <v>100</v>
      </c>
      <c r="E159" s="300">
        <f>2.8*C159/100</f>
        <v>2.8</v>
      </c>
      <c r="F159" s="300">
        <f>3.2*C159/100</f>
        <v>3.2</v>
      </c>
      <c r="G159" s="300">
        <f>4.7*C159/100</f>
        <v>4.7</v>
      </c>
      <c r="H159" s="300">
        <f>5.8*C159/100</f>
        <v>5.8</v>
      </c>
      <c r="I159" s="300">
        <f>146*C159/100</f>
        <v>146</v>
      </c>
      <c r="J159" s="300">
        <f>120*C159/100</f>
        <v>120</v>
      </c>
      <c r="K159" s="300">
        <f>114*C159/100</f>
        <v>114</v>
      </c>
      <c r="L159" s="300">
        <f>0.1*C159/100</f>
        <v>0.1</v>
      </c>
      <c r="M159" s="300">
        <f>0.1*C159/100</f>
        <v>0.1</v>
      </c>
      <c r="N159" s="300">
        <f>0.02*C159/100</f>
        <v>0.02</v>
      </c>
      <c r="O159" s="300">
        <f>0.04*C159/100</f>
        <v>0.04</v>
      </c>
      <c r="P159" s="300">
        <f>0.15*C159/100</f>
        <v>0.15</v>
      </c>
      <c r="Q159" s="300">
        <f>0.1*C159/100</f>
        <v>0.1</v>
      </c>
      <c r="R159" s="300">
        <f>1.3*A159/100</f>
        <v>0</v>
      </c>
      <c r="S159" s="300"/>
      <c r="T159" s="300"/>
    </row>
    <row r="160" spans="1:20" x14ac:dyDescent="0.2">
      <c r="A160" s="303"/>
      <c r="B160" s="304" t="s">
        <v>226</v>
      </c>
      <c r="C160" s="282">
        <v>65</v>
      </c>
      <c r="D160" s="282">
        <v>65</v>
      </c>
      <c r="E160" s="282">
        <v>0</v>
      </c>
      <c r="F160" s="282">
        <v>0</v>
      </c>
      <c r="G160" s="282">
        <v>0</v>
      </c>
      <c r="H160" s="282">
        <v>0</v>
      </c>
      <c r="I160" s="282">
        <v>0</v>
      </c>
      <c r="J160" s="282">
        <v>0</v>
      </c>
      <c r="K160" s="282">
        <v>0</v>
      </c>
      <c r="L160" s="282">
        <v>0</v>
      </c>
      <c r="M160" s="282">
        <v>0</v>
      </c>
      <c r="N160" s="282">
        <v>0</v>
      </c>
      <c r="O160" s="282">
        <v>0</v>
      </c>
      <c r="P160" s="282">
        <v>0</v>
      </c>
      <c r="Q160" s="282">
        <v>0</v>
      </c>
      <c r="R160" s="282">
        <v>0</v>
      </c>
      <c r="S160" s="282"/>
      <c r="T160" s="282"/>
    </row>
    <row r="161" spans="1:20" x14ac:dyDescent="0.2">
      <c r="A161" s="303"/>
      <c r="B161" s="304" t="s">
        <v>227</v>
      </c>
      <c r="C161" s="270">
        <v>6</v>
      </c>
      <c r="D161" s="270">
        <v>6</v>
      </c>
      <c r="E161" s="300">
        <f>0</f>
        <v>0</v>
      </c>
      <c r="F161" s="300">
        <v>0</v>
      </c>
      <c r="G161" s="300">
        <f>99.8*D161/100</f>
        <v>5.9879999999999995</v>
      </c>
      <c r="H161" s="300">
        <f>379*D161/100</f>
        <v>22.74</v>
      </c>
      <c r="I161" s="300">
        <f>3*D161/100</f>
        <v>0.18</v>
      </c>
      <c r="J161" s="300">
        <f>2*D161/100</f>
        <v>0.12</v>
      </c>
      <c r="K161" s="300">
        <f>0</f>
        <v>0</v>
      </c>
      <c r="L161" s="300">
        <f>0.3*D161/100</f>
        <v>1.7999999999999999E-2</v>
      </c>
      <c r="M161" s="300">
        <f>0.3*D161/100</f>
        <v>1.7999999999999999E-2</v>
      </c>
      <c r="N161" s="300">
        <v>0</v>
      </c>
      <c r="O161" s="300">
        <f>0</f>
        <v>0</v>
      </c>
      <c r="P161" s="300">
        <v>0</v>
      </c>
      <c r="Q161" s="300">
        <v>0</v>
      </c>
      <c r="R161" s="300">
        <v>0</v>
      </c>
      <c r="S161" s="300"/>
      <c r="T161" s="300"/>
    </row>
    <row r="162" spans="1:20" ht="25.5" x14ac:dyDescent="0.2">
      <c r="A162" s="303"/>
      <c r="B162" s="305" t="s">
        <v>228</v>
      </c>
      <c r="C162" s="282">
        <v>10</v>
      </c>
      <c r="D162" s="282">
        <v>10</v>
      </c>
      <c r="E162" s="296">
        <f>0.8*D162/100</f>
        <v>0.08</v>
      </c>
      <c r="F162" s="296">
        <f>72.5*D162/100</f>
        <v>7.25</v>
      </c>
      <c r="G162" s="296">
        <f>1.3*D162/100</f>
        <v>0.13</v>
      </c>
      <c r="H162" s="296">
        <f>661*D162/100</f>
        <v>66.099999999999994</v>
      </c>
      <c r="I162" s="306">
        <f>23*D162/100</f>
        <v>2.2999999999999998</v>
      </c>
      <c r="J162" s="296">
        <f>22*D162/100</f>
        <v>2.2000000000000002</v>
      </c>
      <c r="K162" s="296">
        <f>3*D162/100</f>
        <v>0.3</v>
      </c>
      <c r="L162" s="297">
        <f>19*D162/100</f>
        <v>1.9</v>
      </c>
      <c r="M162" s="296">
        <f>0.2*D162/100</f>
        <v>0.02</v>
      </c>
      <c r="N162" s="296">
        <f>0.5*D162/100</f>
        <v>0.05</v>
      </c>
      <c r="O162" s="296">
        <f>0</f>
        <v>0</v>
      </c>
      <c r="P162" s="296">
        <f>0.01*D162/100</f>
        <v>1E-3</v>
      </c>
      <c r="Q162" s="296">
        <f>0.1*D162/100</f>
        <v>0.01</v>
      </c>
      <c r="R162" s="296">
        <f>0</f>
        <v>0</v>
      </c>
      <c r="S162" s="296"/>
      <c r="T162" s="296"/>
    </row>
    <row r="163" spans="1:20" x14ac:dyDescent="0.2">
      <c r="A163" s="301"/>
      <c r="B163" s="307" t="s">
        <v>77</v>
      </c>
      <c r="C163" s="277"/>
      <c r="D163" s="277"/>
      <c r="E163" s="277">
        <f>SUM(E157:E162)+1</f>
        <v>7.6749999999999998</v>
      </c>
      <c r="F163" s="277">
        <f>SUM(F157:F162)</f>
        <v>11.2227</v>
      </c>
      <c r="G163" s="277">
        <f t="shared" ref="G163:Q163" si="14">SUM(G157:G162)</f>
        <v>33.449000000000005</v>
      </c>
      <c r="H163" s="277">
        <f t="shared" si="14"/>
        <v>206.96</v>
      </c>
      <c r="I163" s="277">
        <f t="shared" si="14"/>
        <v>194.23000000000002</v>
      </c>
      <c r="J163" s="277">
        <f t="shared" si="14"/>
        <v>130.81</v>
      </c>
      <c r="K163" s="277">
        <f t="shared" si="14"/>
        <v>136.43</v>
      </c>
      <c r="L163" s="277">
        <f t="shared" si="14"/>
        <v>3.6</v>
      </c>
      <c r="M163" s="277">
        <f t="shared" si="14"/>
        <v>1.7200000000000002</v>
      </c>
      <c r="N163" s="277">
        <f t="shared" si="14"/>
        <v>9.8500000000000004E-2</v>
      </c>
      <c r="O163" s="277">
        <f t="shared" si="14"/>
        <v>0.16900000000000001</v>
      </c>
      <c r="P163" s="277">
        <f t="shared" si="14"/>
        <v>0.16419999999999998</v>
      </c>
      <c r="Q163" s="277">
        <f t="shared" si="14"/>
        <v>0.62849999999999995</v>
      </c>
      <c r="R163" s="277">
        <f>SUM(R157:R162)</f>
        <v>0</v>
      </c>
      <c r="S163" s="277"/>
      <c r="T163" s="277"/>
    </row>
    <row r="164" spans="1:20" s="26" customFormat="1" ht="14.25" customHeight="1" x14ac:dyDescent="0.2">
      <c r="A164" s="271" t="s">
        <v>73</v>
      </c>
      <c r="B164" s="274" t="s">
        <v>74</v>
      </c>
      <c r="C164" s="330" t="s">
        <v>75</v>
      </c>
      <c r="D164" s="331"/>
      <c r="E164" s="272">
        <v>0.1</v>
      </c>
      <c r="F164" s="272">
        <v>0</v>
      </c>
      <c r="G164" s="272">
        <v>15</v>
      </c>
      <c r="H164" s="272">
        <v>57.7</v>
      </c>
      <c r="I164" s="289">
        <v>12.9</v>
      </c>
      <c r="J164" s="272">
        <v>2.9</v>
      </c>
      <c r="K164" s="272">
        <v>2.2000000000000002</v>
      </c>
      <c r="L164" s="289">
        <v>4.12</v>
      </c>
      <c r="M164" s="272">
        <v>0.4</v>
      </c>
      <c r="N164" s="272">
        <v>0</v>
      </c>
      <c r="O164" s="272">
        <v>0</v>
      </c>
      <c r="P164" s="272">
        <v>0</v>
      </c>
      <c r="Q164" s="272">
        <v>0</v>
      </c>
      <c r="R164" s="272">
        <v>0</v>
      </c>
      <c r="S164" s="272"/>
      <c r="T164" s="272"/>
    </row>
    <row r="165" spans="1:20" x14ac:dyDescent="0.2">
      <c r="A165" s="271"/>
      <c r="B165" s="281" t="s">
        <v>40</v>
      </c>
      <c r="C165" s="282">
        <v>50</v>
      </c>
      <c r="D165" s="282">
        <v>50</v>
      </c>
      <c r="E165" s="273">
        <v>0.1</v>
      </c>
      <c r="F165" s="273">
        <v>0</v>
      </c>
      <c r="G165" s="273">
        <v>0</v>
      </c>
      <c r="H165" s="273">
        <v>0.8</v>
      </c>
      <c r="I165" s="284">
        <v>12.4</v>
      </c>
      <c r="J165" s="273">
        <v>2.5</v>
      </c>
      <c r="K165" s="273">
        <v>2.2000000000000002</v>
      </c>
      <c r="L165" s="284">
        <v>4.12</v>
      </c>
      <c r="M165" s="273">
        <v>0.4</v>
      </c>
      <c r="N165" s="273">
        <v>0</v>
      </c>
      <c r="O165" s="273">
        <v>0</v>
      </c>
      <c r="P165" s="273">
        <v>0</v>
      </c>
      <c r="Q165" s="273">
        <v>0</v>
      </c>
      <c r="R165" s="273">
        <v>0</v>
      </c>
      <c r="S165" s="273"/>
      <c r="T165" s="273"/>
    </row>
    <row r="166" spans="1:20" x14ac:dyDescent="0.2">
      <c r="A166" s="271"/>
      <c r="B166" s="281" t="s">
        <v>30</v>
      </c>
      <c r="C166" s="282">
        <v>15</v>
      </c>
      <c r="D166" s="282">
        <v>15</v>
      </c>
      <c r="E166" s="273">
        <v>0</v>
      </c>
      <c r="F166" s="273">
        <v>0</v>
      </c>
      <c r="G166" s="273">
        <v>15</v>
      </c>
      <c r="H166" s="273">
        <v>56.9</v>
      </c>
      <c r="I166" s="284">
        <v>0.5</v>
      </c>
      <c r="J166" s="273">
        <v>0.4</v>
      </c>
      <c r="K166" s="273">
        <v>0</v>
      </c>
      <c r="L166" s="284">
        <v>0</v>
      </c>
      <c r="M166" s="273">
        <v>0</v>
      </c>
      <c r="N166" s="273">
        <v>0</v>
      </c>
      <c r="O166" s="273">
        <v>0</v>
      </c>
      <c r="P166" s="273">
        <v>0</v>
      </c>
      <c r="Q166" s="273">
        <v>0</v>
      </c>
      <c r="R166" s="273">
        <v>0</v>
      </c>
      <c r="S166" s="273"/>
      <c r="T166" s="273"/>
    </row>
    <row r="167" spans="1:20" x14ac:dyDescent="0.2">
      <c r="A167" s="279"/>
      <c r="B167" s="281" t="s">
        <v>35</v>
      </c>
      <c r="C167" s="282">
        <v>150</v>
      </c>
      <c r="D167" s="282">
        <v>150</v>
      </c>
      <c r="E167" s="273">
        <v>0</v>
      </c>
      <c r="F167" s="273">
        <v>0</v>
      </c>
      <c r="G167" s="273">
        <v>0</v>
      </c>
      <c r="H167" s="273">
        <v>0</v>
      </c>
      <c r="I167" s="273">
        <v>0</v>
      </c>
      <c r="J167" s="273">
        <v>0</v>
      </c>
      <c r="K167" s="273">
        <v>0</v>
      </c>
      <c r="L167" s="273">
        <v>0</v>
      </c>
      <c r="M167" s="273">
        <v>0</v>
      </c>
      <c r="N167" s="273">
        <v>0</v>
      </c>
      <c r="O167" s="273">
        <v>0</v>
      </c>
      <c r="P167" s="273">
        <v>0</v>
      </c>
      <c r="Q167" s="273">
        <v>0</v>
      </c>
      <c r="R167" s="273">
        <v>0</v>
      </c>
      <c r="S167" s="273"/>
      <c r="T167" s="273"/>
    </row>
    <row r="168" spans="1:20" s="231" customFormat="1" ht="13.5" customHeight="1" x14ac:dyDescent="0.2">
      <c r="A168" s="271"/>
      <c r="B168" s="272" t="s">
        <v>229</v>
      </c>
      <c r="C168" s="273"/>
      <c r="D168" s="273"/>
      <c r="E168" s="272">
        <f t="shared" ref="E168:R168" si="15">E156+E164</f>
        <v>0.1</v>
      </c>
      <c r="F168" s="272">
        <f t="shared" si="15"/>
        <v>0</v>
      </c>
      <c r="G168" s="272">
        <f t="shared" si="15"/>
        <v>15</v>
      </c>
      <c r="H168" s="272">
        <f t="shared" si="15"/>
        <v>57.7</v>
      </c>
      <c r="I168" s="272">
        <f t="shared" si="15"/>
        <v>12.9</v>
      </c>
      <c r="J168" s="272">
        <f t="shared" si="15"/>
        <v>2.9</v>
      </c>
      <c r="K168" s="272">
        <f t="shared" si="15"/>
        <v>2.2000000000000002</v>
      </c>
      <c r="L168" s="272">
        <f t="shared" si="15"/>
        <v>4.12</v>
      </c>
      <c r="M168" s="272">
        <f t="shared" si="15"/>
        <v>0.4</v>
      </c>
      <c r="N168" s="272">
        <f t="shared" si="15"/>
        <v>0</v>
      </c>
      <c r="O168" s="272">
        <f t="shared" si="15"/>
        <v>0</v>
      </c>
      <c r="P168" s="272">
        <f t="shared" si="15"/>
        <v>0</v>
      </c>
      <c r="Q168" s="272">
        <f t="shared" si="15"/>
        <v>0</v>
      </c>
      <c r="R168" s="272">
        <f t="shared" si="15"/>
        <v>0</v>
      </c>
      <c r="S168" s="272"/>
      <c r="T168" s="272"/>
    </row>
    <row r="169" spans="1:20" x14ac:dyDescent="0.2">
      <c r="A169" s="273"/>
      <c r="B169" s="292" t="s">
        <v>65</v>
      </c>
      <c r="C169" s="258"/>
      <c r="D169" s="258"/>
      <c r="E169" s="258">
        <v>192.74</v>
      </c>
      <c r="F169" s="258">
        <v>215.94</v>
      </c>
      <c r="G169" s="258">
        <v>895.82</v>
      </c>
      <c r="H169" s="258">
        <v>6597.1</v>
      </c>
      <c r="I169" s="258">
        <v>4828</v>
      </c>
      <c r="J169" s="258">
        <v>2114.9699999999998</v>
      </c>
      <c r="K169" s="258">
        <v>849.89</v>
      </c>
      <c r="L169" s="258">
        <v>2451.1</v>
      </c>
      <c r="M169" s="258">
        <v>35.22</v>
      </c>
      <c r="N169" s="258">
        <v>1.4</v>
      </c>
      <c r="O169" s="258">
        <v>2.3740000000000001</v>
      </c>
      <c r="P169" s="258">
        <v>3.5449999999999999</v>
      </c>
      <c r="Q169" s="258">
        <v>27.36</v>
      </c>
      <c r="R169" s="258">
        <v>54.508000000000003</v>
      </c>
      <c r="S169" s="272"/>
      <c r="T169" s="272"/>
    </row>
    <row r="170" spans="1:20" x14ac:dyDescent="0.2">
      <c r="A170" s="273"/>
      <c r="B170" s="308" t="s">
        <v>230</v>
      </c>
      <c r="C170" s="309"/>
      <c r="D170" s="309"/>
      <c r="E170" s="309">
        <v>19.274000000000001</v>
      </c>
      <c r="F170" s="309">
        <v>21.594000000000001</v>
      </c>
      <c r="G170" s="309">
        <v>89.581999999999994</v>
      </c>
      <c r="H170" s="309">
        <v>659.71</v>
      </c>
      <c r="I170" s="309">
        <v>482.8</v>
      </c>
      <c r="J170" s="309">
        <v>211.49700000000001</v>
      </c>
      <c r="K170" s="309">
        <v>84.989000000000004</v>
      </c>
      <c r="L170" s="309">
        <v>245.11</v>
      </c>
      <c r="M170" s="309">
        <v>3.5219999999999998</v>
      </c>
      <c r="N170" s="309">
        <v>0.14000000000000001</v>
      </c>
      <c r="O170" s="309">
        <v>0.23699999999999999</v>
      </c>
      <c r="P170" s="309">
        <v>0.35499999999999998</v>
      </c>
      <c r="Q170" s="309">
        <v>2.7360000000000002</v>
      </c>
      <c r="R170" s="309">
        <v>5.4508000000000001</v>
      </c>
      <c r="S170" s="272"/>
      <c r="T170" s="272"/>
    </row>
    <row r="171" spans="1:20" x14ac:dyDescent="0.2">
      <c r="A171" s="273"/>
      <c r="B171" s="273"/>
      <c r="C171" s="273"/>
      <c r="D171" s="273"/>
      <c r="E171" s="273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</row>
    <row r="177" ht="28.5" customHeight="1" x14ac:dyDescent="0.2"/>
  </sheetData>
  <mergeCells count="18">
    <mergeCell ref="A16:A17"/>
    <mergeCell ref="A58:A59"/>
    <mergeCell ref="A1:A2"/>
    <mergeCell ref="B1:B2"/>
    <mergeCell ref="C1:C2"/>
    <mergeCell ref="C164:D164"/>
    <mergeCell ref="G1:G2"/>
    <mergeCell ref="H1:H2"/>
    <mergeCell ref="I1:M1"/>
    <mergeCell ref="N1:T1"/>
    <mergeCell ref="D1:D2"/>
    <mergeCell ref="E1:E2"/>
    <mergeCell ref="F1:F2"/>
    <mergeCell ref="A68:A69"/>
    <mergeCell ref="C84:D84"/>
    <mergeCell ref="A116:A117"/>
    <mergeCell ref="A147:A148"/>
    <mergeCell ref="C156:D156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1"/>
  <sheetViews>
    <sheetView tabSelected="1" view="pageBreakPreview" topLeftCell="A57" zoomScale="60" workbookViewId="0">
      <selection activeCell="A76" sqref="A76"/>
    </sheetView>
  </sheetViews>
  <sheetFormatPr defaultRowHeight="12.75" x14ac:dyDescent="0.2"/>
  <cols>
    <col min="1" max="1" width="8.42578125" customWidth="1"/>
    <col min="2" max="2" width="29.28515625" customWidth="1"/>
    <col min="3" max="3" width="7.28515625" customWidth="1"/>
    <col min="4" max="4" width="6.85546875" customWidth="1"/>
    <col min="5" max="5" width="7.140625" customWidth="1"/>
    <col min="6" max="6" width="6.85546875" customWidth="1"/>
    <col min="7" max="7" width="7" customWidth="1"/>
    <col min="8" max="8" width="7.5703125" customWidth="1"/>
    <col min="9" max="9" width="6.7109375" customWidth="1"/>
    <col min="10" max="10" width="8.140625" customWidth="1"/>
    <col min="11" max="11" width="6.7109375" customWidth="1"/>
    <col min="12" max="12" width="6.85546875" customWidth="1"/>
    <col min="13" max="13" width="6.140625" customWidth="1"/>
    <col min="14" max="14" width="5.140625" customWidth="1"/>
    <col min="15" max="15" width="6.28515625" customWidth="1"/>
    <col min="16" max="16" width="6.140625" customWidth="1"/>
    <col min="17" max="19" width="6.28515625" customWidth="1"/>
    <col min="20" max="20" width="6.7109375" customWidth="1"/>
    <col min="256" max="256" width="6.85546875" customWidth="1"/>
    <col min="257" max="257" width="8.42578125" customWidth="1"/>
    <col min="258" max="258" width="29.28515625" customWidth="1"/>
    <col min="259" max="259" width="7.28515625" customWidth="1"/>
    <col min="260" max="260" width="6.85546875" customWidth="1"/>
    <col min="261" max="261" width="7.140625" customWidth="1"/>
    <col min="262" max="262" width="6.85546875" customWidth="1"/>
    <col min="263" max="263" width="7" customWidth="1"/>
    <col min="264" max="264" width="7.5703125" customWidth="1"/>
    <col min="265" max="265" width="6.7109375" customWidth="1"/>
    <col min="266" max="266" width="8.140625" customWidth="1"/>
    <col min="267" max="267" width="6.7109375" customWidth="1"/>
    <col min="268" max="268" width="6.85546875" customWidth="1"/>
    <col min="269" max="269" width="6.140625" customWidth="1"/>
    <col min="270" max="270" width="5.140625" customWidth="1"/>
    <col min="271" max="271" width="6.28515625" customWidth="1"/>
    <col min="272" max="272" width="6.140625" customWidth="1"/>
    <col min="273" max="275" width="6.28515625" customWidth="1"/>
    <col min="276" max="276" width="6.7109375" customWidth="1"/>
    <col min="512" max="512" width="6.85546875" customWidth="1"/>
    <col min="513" max="513" width="8.42578125" customWidth="1"/>
    <col min="514" max="514" width="29.28515625" customWidth="1"/>
    <col min="515" max="515" width="7.28515625" customWidth="1"/>
    <col min="516" max="516" width="6.85546875" customWidth="1"/>
    <col min="517" max="517" width="7.140625" customWidth="1"/>
    <col min="518" max="518" width="6.85546875" customWidth="1"/>
    <col min="519" max="519" width="7" customWidth="1"/>
    <col min="520" max="520" width="7.5703125" customWidth="1"/>
    <col min="521" max="521" width="6.7109375" customWidth="1"/>
    <col min="522" max="522" width="8.140625" customWidth="1"/>
    <col min="523" max="523" width="6.7109375" customWidth="1"/>
    <col min="524" max="524" width="6.85546875" customWidth="1"/>
    <col min="525" max="525" width="6.140625" customWidth="1"/>
    <col min="526" max="526" width="5.140625" customWidth="1"/>
    <col min="527" max="527" width="6.28515625" customWidth="1"/>
    <col min="528" max="528" width="6.140625" customWidth="1"/>
    <col min="529" max="531" width="6.28515625" customWidth="1"/>
    <col min="532" max="532" width="6.7109375" customWidth="1"/>
    <col min="768" max="768" width="6.85546875" customWidth="1"/>
    <col min="769" max="769" width="8.42578125" customWidth="1"/>
    <col min="770" max="770" width="29.28515625" customWidth="1"/>
    <col min="771" max="771" width="7.28515625" customWidth="1"/>
    <col min="772" max="772" width="6.85546875" customWidth="1"/>
    <col min="773" max="773" width="7.140625" customWidth="1"/>
    <col min="774" max="774" width="6.85546875" customWidth="1"/>
    <col min="775" max="775" width="7" customWidth="1"/>
    <col min="776" max="776" width="7.5703125" customWidth="1"/>
    <col min="777" max="777" width="6.7109375" customWidth="1"/>
    <col min="778" max="778" width="8.140625" customWidth="1"/>
    <col min="779" max="779" width="6.7109375" customWidth="1"/>
    <col min="780" max="780" width="6.85546875" customWidth="1"/>
    <col min="781" max="781" width="6.140625" customWidth="1"/>
    <col min="782" max="782" width="5.140625" customWidth="1"/>
    <col min="783" max="783" width="6.28515625" customWidth="1"/>
    <col min="784" max="784" width="6.140625" customWidth="1"/>
    <col min="785" max="787" width="6.28515625" customWidth="1"/>
    <col min="788" max="788" width="6.7109375" customWidth="1"/>
    <col min="1024" max="1024" width="6.85546875" customWidth="1"/>
    <col min="1025" max="1025" width="8.42578125" customWidth="1"/>
    <col min="1026" max="1026" width="29.28515625" customWidth="1"/>
    <col min="1027" max="1027" width="7.28515625" customWidth="1"/>
    <col min="1028" max="1028" width="6.85546875" customWidth="1"/>
    <col min="1029" max="1029" width="7.140625" customWidth="1"/>
    <col min="1030" max="1030" width="6.85546875" customWidth="1"/>
    <col min="1031" max="1031" width="7" customWidth="1"/>
    <col min="1032" max="1032" width="7.5703125" customWidth="1"/>
    <col min="1033" max="1033" width="6.7109375" customWidth="1"/>
    <col min="1034" max="1034" width="8.140625" customWidth="1"/>
    <col min="1035" max="1035" width="6.7109375" customWidth="1"/>
    <col min="1036" max="1036" width="6.85546875" customWidth="1"/>
    <col min="1037" max="1037" width="6.140625" customWidth="1"/>
    <col min="1038" max="1038" width="5.140625" customWidth="1"/>
    <col min="1039" max="1039" width="6.28515625" customWidth="1"/>
    <col min="1040" max="1040" width="6.140625" customWidth="1"/>
    <col min="1041" max="1043" width="6.28515625" customWidth="1"/>
    <col min="1044" max="1044" width="6.7109375" customWidth="1"/>
    <col min="1280" max="1280" width="6.85546875" customWidth="1"/>
    <col min="1281" max="1281" width="8.42578125" customWidth="1"/>
    <col min="1282" max="1282" width="29.28515625" customWidth="1"/>
    <col min="1283" max="1283" width="7.28515625" customWidth="1"/>
    <col min="1284" max="1284" width="6.85546875" customWidth="1"/>
    <col min="1285" max="1285" width="7.140625" customWidth="1"/>
    <col min="1286" max="1286" width="6.85546875" customWidth="1"/>
    <col min="1287" max="1287" width="7" customWidth="1"/>
    <col min="1288" max="1288" width="7.5703125" customWidth="1"/>
    <col min="1289" max="1289" width="6.7109375" customWidth="1"/>
    <col min="1290" max="1290" width="8.140625" customWidth="1"/>
    <col min="1291" max="1291" width="6.7109375" customWidth="1"/>
    <col min="1292" max="1292" width="6.85546875" customWidth="1"/>
    <col min="1293" max="1293" width="6.140625" customWidth="1"/>
    <col min="1294" max="1294" width="5.140625" customWidth="1"/>
    <col min="1295" max="1295" width="6.28515625" customWidth="1"/>
    <col min="1296" max="1296" width="6.140625" customWidth="1"/>
    <col min="1297" max="1299" width="6.28515625" customWidth="1"/>
    <col min="1300" max="1300" width="6.7109375" customWidth="1"/>
    <col min="1536" max="1536" width="6.85546875" customWidth="1"/>
    <col min="1537" max="1537" width="8.42578125" customWidth="1"/>
    <col min="1538" max="1538" width="29.28515625" customWidth="1"/>
    <col min="1539" max="1539" width="7.28515625" customWidth="1"/>
    <col min="1540" max="1540" width="6.85546875" customWidth="1"/>
    <col min="1541" max="1541" width="7.140625" customWidth="1"/>
    <col min="1542" max="1542" width="6.85546875" customWidth="1"/>
    <col min="1543" max="1543" width="7" customWidth="1"/>
    <col min="1544" max="1544" width="7.5703125" customWidth="1"/>
    <col min="1545" max="1545" width="6.7109375" customWidth="1"/>
    <col min="1546" max="1546" width="8.140625" customWidth="1"/>
    <col min="1547" max="1547" width="6.7109375" customWidth="1"/>
    <col min="1548" max="1548" width="6.85546875" customWidth="1"/>
    <col min="1549" max="1549" width="6.140625" customWidth="1"/>
    <col min="1550" max="1550" width="5.140625" customWidth="1"/>
    <col min="1551" max="1551" width="6.28515625" customWidth="1"/>
    <col min="1552" max="1552" width="6.140625" customWidth="1"/>
    <col min="1553" max="1555" width="6.28515625" customWidth="1"/>
    <col min="1556" max="1556" width="6.7109375" customWidth="1"/>
    <col min="1792" max="1792" width="6.85546875" customWidth="1"/>
    <col min="1793" max="1793" width="8.42578125" customWidth="1"/>
    <col min="1794" max="1794" width="29.28515625" customWidth="1"/>
    <col min="1795" max="1795" width="7.28515625" customWidth="1"/>
    <col min="1796" max="1796" width="6.85546875" customWidth="1"/>
    <col min="1797" max="1797" width="7.140625" customWidth="1"/>
    <col min="1798" max="1798" width="6.85546875" customWidth="1"/>
    <col min="1799" max="1799" width="7" customWidth="1"/>
    <col min="1800" max="1800" width="7.5703125" customWidth="1"/>
    <col min="1801" max="1801" width="6.7109375" customWidth="1"/>
    <col min="1802" max="1802" width="8.140625" customWidth="1"/>
    <col min="1803" max="1803" width="6.7109375" customWidth="1"/>
    <col min="1804" max="1804" width="6.85546875" customWidth="1"/>
    <col min="1805" max="1805" width="6.140625" customWidth="1"/>
    <col min="1806" max="1806" width="5.140625" customWidth="1"/>
    <col min="1807" max="1807" width="6.28515625" customWidth="1"/>
    <col min="1808" max="1808" width="6.140625" customWidth="1"/>
    <col min="1809" max="1811" width="6.28515625" customWidth="1"/>
    <col min="1812" max="1812" width="6.7109375" customWidth="1"/>
    <col min="2048" max="2048" width="6.85546875" customWidth="1"/>
    <col min="2049" max="2049" width="8.42578125" customWidth="1"/>
    <col min="2050" max="2050" width="29.28515625" customWidth="1"/>
    <col min="2051" max="2051" width="7.28515625" customWidth="1"/>
    <col min="2052" max="2052" width="6.85546875" customWidth="1"/>
    <col min="2053" max="2053" width="7.140625" customWidth="1"/>
    <col min="2054" max="2054" width="6.85546875" customWidth="1"/>
    <col min="2055" max="2055" width="7" customWidth="1"/>
    <col min="2056" max="2056" width="7.5703125" customWidth="1"/>
    <col min="2057" max="2057" width="6.7109375" customWidth="1"/>
    <col min="2058" max="2058" width="8.140625" customWidth="1"/>
    <col min="2059" max="2059" width="6.7109375" customWidth="1"/>
    <col min="2060" max="2060" width="6.85546875" customWidth="1"/>
    <col min="2061" max="2061" width="6.140625" customWidth="1"/>
    <col min="2062" max="2062" width="5.140625" customWidth="1"/>
    <col min="2063" max="2063" width="6.28515625" customWidth="1"/>
    <col min="2064" max="2064" width="6.140625" customWidth="1"/>
    <col min="2065" max="2067" width="6.28515625" customWidth="1"/>
    <col min="2068" max="2068" width="6.7109375" customWidth="1"/>
    <col min="2304" max="2304" width="6.85546875" customWidth="1"/>
    <col min="2305" max="2305" width="8.42578125" customWidth="1"/>
    <col min="2306" max="2306" width="29.28515625" customWidth="1"/>
    <col min="2307" max="2307" width="7.28515625" customWidth="1"/>
    <col min="2308" max="2308" width="6.85546875" customWidth="1"/>
    <col min="2309" max="2309" width="7.140625" customWidth="1"/>
    <col min="2310" max="2310" width="6.85546875" customWidth="1"/>
    <col min="2311" max="2311" width="7" customWidth="1"/>
    <col min="2312" max="2312" width="7.5703125" customWidth="1"/>
    <col min="2313" max="2313" width="6.7109375" customWidth="1"/>
    <col min="2314" max="2314" width="8.140625" customWidth="1"/>
    <col min="2315" max="2315" width="6.7109375" customWidth="1"/>
    <col min="2316" max="2316" width="6.85546875" customWidth="1"/>
    <col min="2317" max="2317" width="6.140625" customWidth="1"/>
    <col min="2318" max="2318" width="5.140625" customWidth="1"/>
    <col min="2319" max="2319" width="6.28515625" customWidth="1"/>
    <col min="2320" max="2320" width="6.140625" customWidth="1"/>
    <col min="2321" max="2323" width="6.28515625" customWidth="1"/>
    <col min="2324" max="2324" width="6.7109375" customWidth="1"/>
    <col min="2560" max="2560" width="6.85546875" customWidth="1"/>
    <col min="2561" max="2561" width="8.42578125" customWidth="1"/>
    <col min="2562" max="2562" width="29.28515625" customWidth="1"/>
    <col min="2563" max="2563" width="7.28515625" customWidth="1"/>
    <col min="2564" max="2564" width="6.85546875" customWidth="1"/>
    <col min="2565" max="2565" width="7.140625" customWidth="1"/>
    <col min="2566" max="2566" width="6.85546875" customWidth="1"/>
    <col min="2567" max="2567" width="7" customWidth="1"/>
    <col min="2568" max="2568" width="7.5703125" customWidth="1"/>
    <col min="2569" max="2569" width="6.7109375" customWidth="1"/>
    <col min="2570" max="2570" width="8.140625" customWidth="1"/>
    <col min="2571" max="2571" width="6.7109375" customWidth="1"/>
    <col min="2572" max="2572" width="6.85546875" customWidth="1"/>
    <col min="2573" max="2573" width="6.140625" customWidth="1"/>
    <col min="2574" max="2574" width="5.140625" customWidth="1"/>
    <col min="2575" max="2575" width="6.28515625" customWidth="1"/>
    <col min="2576" max="2576" width="6.140625" customWidth="1"/>
    <col min="2577" max="2579" width="6.28515625" customWidth="1"/>
    <col min="2580" max="2580" width="6.7109375" customWidth="1"/>
    <col min="2816" max="2816" width="6.85546875" customWidth="1"/>
    <col min="2817" max="2817" width="8.42578125" customWidth="1"/>
    <col min="2818" max="2818" width="29.28515625" customWidth="1"/>
    <col min="2819" max="2819" width="7.28515625" customWidth="1"/>
    <col min="2820" max="2820" width="6.85546875" customWidth="1"/>
    <col min="2821" max="2821" width="7.140625" customWidth="1"/>
    <col min="2822" max="2822" width="6.85546875" customWidth="1"/>
    <col min="2823" max="2823" width="7" customWidth="1"/>
    <col min="2824" max="2824" width="7.5703125" customWidth="1"/>
    <col min="2825" max="2825" width="6.7109375" customWidth="1"/>
    <col min="2826" max="2826" width="8.140625" customWidth="1"/>
    <col min="2827" max="2827" width="6.7109375" customWidth="1"/>
    <col min="2828" max="2828" width="6.85546875" customWidth="1"/>
    <col min="2829" max="2829" width="6.140625" customWidth="1"/>
    <col min="2830" max="2830" width="5.140625" customWidth="1"/>
    <col min="2831" max="2831" width="6.28515625" customWidth="1"/>
    <col min="2832" max="2832" width="6.140625" customWidth="1"/>
    <col min="2833" max="2835" width="6.28515625" customWidth="1"/>
    <col min="2836" max="2836" width="6.7109375" customWidth="1"/>
    <col min="3072" max="3072" width="6.85546875" customWidth="1"/>
    <col min="3073" max="3073" width="8.42578125" customWidth="1"/>
    <col min="3074" max="3074" width="29.28515625" customWidth="1"/>
    <col min="3075" max="3075" width="7.28515625" customWidth="1"/>
    <col min="3076" max="3076" width="6.85546875" customWidth="1"/>
    <col min="3077" max="3077" width="7.140625" customWidth="1"/>
    <col min="3078" max="3078" width="6.85546875" customWidth="1"/>
    <col min="3079" max="3079" width="7" customWidth="1"/>
    <col min="3080" max="3080" width="7.5703125" customWidth="1"/>
    <col min="3081" max="3081" width="6.7109375" customWidth="1"/>
    <col min="3082" max="3082" width="8.140625" customWidth="1"/>
    <col min="3083" max="3083" width="6.7109375" customWidth="1"/>
    <col min="3084" max="3084" width="6.85546875" customWidth="1"/>
    <col min="3085" max="3085" width="6.140625" customWidth="1"/>
    <col min="3086" max="3086" width="5.140625" customWidth="1"/>
    <col min="3087" max="3087" width="6.28515625" customWidth="1"/>
    <col min="3088" max="3088" width="6.140625" customWidth="1"/>
    <col min="3089" max="3091" width="6.28515625" customWidth="1"/>
    <col min="3092" max="3092" width="6.7109375" customWidth="1"/>
    <col min="3328" max="3328" width="6.85546875" customWidth="1"/>
    <col min="3329" max="3329" width="8.42578125" customWidth="1"/>
    <col min="3330" max="3330" width="29.28515625" customWidth="1"/>
    <col min="3331" max="3331" width="7.28515625" customWidth="1"/>
    <col min="3332" max="3332" width="6.85546875" customWidth="1"/>
    <col min="3333" max="3333" width="7.140625" customWidth="1"/>
    <col min="3334" max="3334" width="6.85546875" customWidth="1"/>
    <col min="3335" max="3335" width="7" customWidth="1"/>
    <col min="3336" max="3336" width="7.5703125" customWidth="1"/>
    <col min="3337" max="3337" width="6.7109375" customWidth="1"/>
    <col min="3338" max="3338" width="8.140625" customWidth="1"/>
    <col min="3339" max="3339" width="6.7109375" customWidth="1"/>
    <col min="3340" max="3340" width="6.85546875" customWidth="1"/>
    <col min="3341" max="3341" width="6.140625" customWidth="1"/>
    <col min="3342" max="3342" width="5.140625" customWidth="1"/>
    <col min="3343" max="3343" width="6.28515625" customWidth="1"/>
    <col min="3344" max="3344" width="6.140625" customWidth="1"/>
    <col min="3345" max="3347" width="6.28515625" customWidth="1"/>
    <col min="3348" max="3348" width="6.7109375" customWidth="1"/>
    <col min="3584" max="3584" width="6.85546875" customWidth="1"/>
    <col min="3585" max="3585" width="8.42578125" customWidth="1"/>
    <col min="3586" max="3586" width="29.28515625" customWidth="1"/>
    <col min="3587" max="3587" width="7.28515625" customWidth="1"/>
    <col min="3588" max="3588" width="6.85546875" customWidth="1"/>
    <col min="3589" max="3589" width="7.140625" customWidth="1"/>
    <col min="3590" max="3590" width="6.85546875" customWidth="1"/>
    <col min="3591" max="3591" width="7" customWidth="1"/>
    <col min="3592" max="3592" width="7.5703125" customWidth="1"/>
    <col min="3593" max="3593" width="6.7109375" customWidth="1"/>
    <col min="3594" max="3594" width="8.140625" customWidth="1"/>
    <col min="3595" max="3595" width="6.7109375" customWidth="1"/>
    <col min="3596" max="3596" width="6.85546875" customWidth="1"/>
    <col min="3597" max="3597" width="6.140625" customWidth="1"/>
    <col min="3598" max="3598" width="5.140625" customWidth="1"/>
    <col min="3599" max="3599" width="6.28515625" customWidth="1"/>
    <col min="3600" max="3600" width="6.140625" customWidth="1"/>
    <col min="3601" max="3603" width="6.28515625" customWidth="1"/>
    <col min="3604" max="3604" width="6.7109375" customWidth="1"/>
    <col min="3840" max="3840" width="6.85546875" customWidth="1"/>
    <col min="3841" max="3841" width="8.42578125" customWidth="1"/>
    <col min="3842" max="3842" width="29.28515625" customWidth="1"/>
    <col min="3843" max="3843" width="7.28515625" customWidth="1"/>
    <col min="3844" max="3844" width="6.85546875" customWidth="1"/>
    <col min="3845" max="3845" width="7.140625" customWidth="1"/>
    <col min="3846" max="3846" width="6.85546875" customWidth="1"/>
    <col min="3847" max="3847" width="7" customWidth="1"/>
    <col min="3848" max="3848" width="7.5703125" customWidth="1"/>
    <col min="3849" max="3849" width="6.7109375" customWidth="1"/>
    <col min="3850" max="3850" width="8.140625" customWidth="1"/>
    <col min="3851" max="3851" width="6.7109375" customWidth="1"/>
    <col min="3852" max="3852" width="6.85546875" customWidth="1"/>
    <col min="3853" max="3853" width="6.140625" customWidth="1"/>
    <col min="3854" max="3854" width="5.140625" customWidth="1"/>
    <col min="3855" max="3855" width="6.28515625" customWidth="1"/>
    <col min="3856" max="3856" width="6.140625" customWidth="1"/>
    <col min="3857" max="3859" width="6.28515625" customWidth="1"/>
    <col min="3860" max="3860" width="6.7109375" customWidth="1"/>
    <col min="4096" max="4096" width="6.85546875" customWidth="1"/>
    <col min="4097" max="4097" width="8.42578125" customWidth="1"/>
    <col min="4098" max="4098" width="29.28515625" customWidth="1"/>
    <col min="4099" max="4099" width="7.28515625" customWidth="1"/>
    <col min="4100" max="4100" width="6.85546875" customWidth="1"/>
    <col min="4101" max="4101" width="7.140625" customWidth="1"/>
    <col min="4102" max="4102" width="6.85546875" customWidth="1"/>
    <col min="4103" max="4103" width="7" customWidth="1"/>
    <col min="4104" max="4104" width="7.5703125" customWidth="1"/>
    <col min="4105" max="4105" width="6.7109375" customWidth="1"/>
    <col min="4106" max="4106" width="8.140625" customWidth="1"/>
    <col min="4107" max="4107" width="6.7109375" customWidth="1"/>
    <col min="4108" max="4108" width="6.85546875" customWidth="1"/>
    <col min="4109" max="4109" width="6.140625" customWidth="1"/>
    <col min="4110" max="4110" width="5.140625" customWidth="1"/>
    <col min="4111" max="4111" width="6.28515625" customWidth="1"/>
    <col min="4112" max="4112" width="6.140625" customWidth="1"/>
    <col min="4113" max="4115" width="6.28515625" customWidth="1"/>
    <col min="4116" max="4116" width="6.7109375" customWidth="1"/>
    <col min="4352" max="4352" width="6.85546875" customWidth="1"/>
    <col min="4353" max="4353" width="8.42578125" customWidth="1"/>
    <col min="4354" max="4354" width="29.28515625" customWidth="1"/>
    <col min="4355" max="4355" width="7.28515625" customWidth="1"/>
    <col min="4356" max="4356" width="6.85546875" customWidth="1"/>
    <col min="4357" max="4357" width="7.140625" customWidth="1"/>
    <col min="4358" max="4358" width="6.85546875" customWidth="1"/>
    <col min="4359" max="4359" width="7" customWidth="1"/>
    <col min="4360" max="4360" width="7.5703125" customWidth="1"/>
    <col min="4361" max="4361" width="6.7109375" customWidth="1"/>
    <col min="4362" max="4362" width="8.140625" customWidth="1"/>
    <col min="4363" max="4363" width="6.7109375" customWidth="1"/>
    <col min="4364" max="4364" width="6.85546875" customWidth="1"/>
    <col min="4365" max="4365" width="6.140625" customWidth="1"/>
    <col min="4366" max="4366" width="5.140625" customWidth="1"/>
    <col min="4367" max="4367" width="6.28515625" customWidth="1"/>
    <col min="4368" max="4368" width="6.140625" customWidth="1"/>
    <col min="4369" max="4371" width="6.28515625" customWidth="1"/>
    <col min="4372" max="4372" width="6.7109375" customWidth="1"/>
    <col min="4608" max="4608" width="6.85546875" customWidth="1"/>
    <col min="4609" max="4609" width="8.42578125" customWidth="1"/>
    <col min="4610" max="4610" width="29.28515625" customWidth="1"/>
    <col min="4611" max="4611" width="7.28515625" customWidth="1"/>
    <col min="4612" max="4612" width="6.85546875" customWidth="1"/>
    <col min="4613" max="4613" width="7.140625" customWidth="1"/>
    <col min="4614" max="4614" width="6.85546875" customWidth="1"/>
    <col min="4615" max="4615" width="7" customWidth="1"/>
    <col min="4616" max="4616" width="7.5703125" customWidth="1"/>
    <col min="4617" max="4617" width="6.7109375" customWidth="1"/>
    <col min="4618" max="4618" width="8.140625" customWidth="1"/>
    <col min="4619" max="4619" width="6.7109375" customWidth="1"/>
    <col min="4620" max="4620" width="6.85546875" customWidth="1"/>
    <col min="4621" max="4621" width="6.140625" customWidth="1"/>
    <col min="4622" max="4622" width="5.140625" customWidth="1"/>
    <col min="4623" max="4623" width="6.28515625" customWidth="1"/>
    <col min="4624" max="4624" width="6.140625" customWidth="1"/>
    <col min="4625" max="4627" width="6.28515625" customWidth="1"/>
    <col min="4628" max="4628" width="6.7109375" customWidth="1"/>
    <col min="4864" max="4864" width="6.85546875" customWidth="1"/>
    <col min="4865" max="4865" width="8.42578125" customWidth="1"/>
    <col min="4866" max="4866" width="29.28515625" customWidth="1"/>
    <col min="4867" max="4867" width="7.28515625" customWidth="1"/>
    <col min="4868" max="4868" width="6.85546875" customWidth="1"/>
    <col min="4869" max="4869" width="7.140625" customWidth="1"/>
    <col min="4870" max="4870" width="6.85546875" customWidth="1"/>
    <col min="4871" max="4871" width="7" customWidth="1"/>
    <col min="4872" max="4872" width="7.5703125" customWidth="1"/>
    <col min="4873" max="4873" width="6.7109375" customWidth="1"/>
    <col min="4874" max="4874" width="8.140625" customWidth="1"/>
    <col min="4875" max="4875" width="6.7109375" customWidth="1"/>
    <col min="4876" max="4876" width="6.85546875" customWidth="1"/>
    <col min="4877" max="4877" width="6.140625" customWidth="1"/>
    <col min="4878" max="4878" width="5.140625" customWidth="1"/>
    <col min="4879" max="4879" width="6.28515625" customWidth="1"/>
    <col min="4880" max="4880" width="6.140625" customWidth="1"/>
    <col min="4881" max="4883" width="6.28515625" customWidth="1"/>
    <col min="4884" max="4884" width="6.7109375" customWidth="1"/>
    <col min="5120" max="5120" width="6.85546875" customWidth="1"/>
    <col min="5121" max="5121" width="8.42578125" customWidth="1"/>
    <col min="5122" max="5122" width="29.28515625" customWidth="1"/>
    <col min="5123" max="5123" width="7.28515625" customWidth="1"/>
    <col min="5124" max="5124" width="6.85546875" customWidth="1"/>
    <col min="5125" max="5125" width="7.140625" customWidth="1"/>
    <col min="5126" max="5126" width="6.85546875" customWidth="1"/>
    <col min="5127" max="5127" width="7" customWidth="1"/>
    <col min="5128" max="5128" width="7.5703125" customWidth="1"/>
    <col min="5129" max="5129" width="6.7109375" customWidth="1"/>
    <col min="5130" max="5130" width="8.140625" customWidth="1"/>
    <col min="5131" max="5131" width="6.7109375" customWidth="1"/>
    <col min="5132" max="5132" width="6.85546875" customWidth="1"/>
    <col min="5133" max="5133" width="6.140625" customWidth="1"/>
    <col min="5134" max="5134" width="5.140625" customWidth="1"/>
    <col min="5135" max="5135" width="6.28515625" customWidth="1"/>
    <col min="5136" max="5136" width="6.140625" customWidth="1"/>
    <col min="5137" max="5139" width="6.28515625" customWidth="1"/>
    <col min="5140" max="5140" width="6.7109375" customWidth="1"/>
    <col min="5376" max="5376" width="6.85546875" customWidth="1"/>
    <col min="5377" max="5377" width="8.42578125" customWidth="1"/>
    <col min="5378" max="5378" width="29.28515625" customWidth="1"/>
    <col min="5379" max="5379" width="7.28515625" customWidth="1"/>
    <col min="5380" max="5380" width="6.85546875" customWidth="1"/>
    <col min="5381" max="5381" width="7.140625" customWidth="1"/>
    <col min="5382" max="5382" width="6.85546875" customWidth="1"/>
    <col min="5383" max="5383" width="7" customWidth="1"/>
    <col min="5384" max="5384" width="7.5703125" customWidth="1"/>
    <col min="5385" max="5385" width="6.7109375" customWidth="1"/>
    <col min="5386" max="5386" width="8.140625" customWidth="1"/>
    <col min="5387" max="5387" width="6.7109375" customWidth="1"/>
    <col min="5388" max="5388" width="6.85546875" customWidth="1"/>
    <col min="5389" max="5389" width="6.140625" customWidth="1"/>
    <col min="5390" max="5390" width="5.140625" customWidth="1"/>
    <col min="5391" max="5391" width="6.28515625" customWidth="1"/>
    <col min="5392" max="5392" width="6.140625" customWidth="1"/>
    <col min="5393" max="5395" width="6.28515625" customWidth="1"/>
    <col min="5396" max="5396" width="6.7109375" customWidth="1"/>
    <col min="5632" max="5632" width="6.85546875" customWidth="1"/>
    <col min="5633" max="5633" width="8.42578125" customWidth="1"/>
    <col min="5634" max="5634" width="29.28515625" customWidth="1"/>
    <col min="5635" max="5635" width="7.28515625" customWidth="1"/>
    <col min="5636" max="5636" width="6.85546875" customWidth="1"/>
    <col min="5637" max="5637" width="7.140625" customWidth="1"/>
    <col min="5638" max="5638" width="6.85546875" customWidth="1"/>
    <col min="5639" max="5639" width="7" customWidth="1"/>
    <col min="5640" max="5640" width="7.5703125" customWidth="1"/>
    <col min="5641" max="5641" width="6.7109375" customWidth="1"/>
    <col min="5642" max="5642" width="8.140625" customWidth="1"/>
    <col min="5643" max="5643" width="6.7109375" customWidth="1"/>
    <col min="5644" max="5644" width="6.85546875" customWidth="1"/>
    <col min="5645" max="5645" width="6.140625" customWidth="1"/>
    <col min="5646" max="5646" width="5.140625" customWidth="1"/>
    <col min="5647" max="5647" width="6.28515625" customWidth="1"/>
    <col min="5648" max="5648" width="6.140625" customWidth="1"/>
    <col min="5649" max="5651" width="6.28515625" customWidth="1"/>
    <col min="5652" max="5652" width="6.7109375" customWidth="1"/>
    <col min="5888" max="5888" width="6.85546875" customWidth="1"/>
    <col min="5889" max="5889" width="8.42578125" customWidth="1"/>
    <col min="5890" max="5890" width="29.28515625" customWidth="1"/>
    <col min="5891" max="5891" width="7.28515625" customWidth="1"/>
    <col min="5892" max="5892" width="6.85546875" customWidth="1"/>
    <col min="5893" max="5893" width="7.140625" customWidth="1"/>
    <col min="5894" max="5894" width="6.85546875" customWidth="1"/>
    <col min="5895" max="5895" width="7" customWidth="1"/>
    <col min="5896" max="5896" width="7.5703125" customWidth="1"/>
    <col min="5897" max="5897" width="6.7109375" customWidth="1"/>
    <col min="5898" max="5898" width="8.140625" customWidth="1"/>
    <col min="5899" max="5899" width="6.7109375" customWidth="1"/>
    <col min="5900" max="5900" width="6.85546875" customWidth="1"/>
    <col min="5901" max="5901" width="6.140625" customWidth="1"/>
    <col min="5902" max="5902" width="5.140625" customWidth="1"/>
    <col min="5903" max="5903" width="6.28515625" customWidth="1"/>
    <col min="5904" max="5904" width="6.140625" customWidth="1"/>
    <col min="5905" max="5907" width="6.28515625" customWidth="1"/>
    <col min="5908" max="5908" width="6.7109375" customWidth="1"/>
    <col min="6144" max="6144" width="6.85546875" customWidth="1"/>
    <col min="6145" max="6145" width="8.42578125" customWidth="1"/>
    <col min="6146" max="6146" width="29.28515625" customWidth="1"/>
    <col min="6147" max="6147" width="7.28515625" customWidth="1"/>
    <col min="6148" max="6148" width="6.85546875" customWidth="1"/>
    <col min="6149" max="6149" width="7.140625" customWidth="1"/>
    <col min="6150" max="6150" width="6.85546875" customWidth="1"/>
    <col min="6151" max="6151" width="7" customWidth="1"/>
    <col min="6152" max="6152" width="7.5703125" customWidth="1"/>
    <col min="6153" max="6153" width="6.7109375" customWidth="1"/>
    <col min="6154" max="6154" width="8.140625" customWidth="1"/>
    <col min="6155" max="6155" width="6.7109375" customWidth="1"/>
    <col min="6156" max="6156" width="6.85546875" customWidth="1"/>
    <col min="6157" max="6157" width="6.140625" customWidth="1"/>
    <col min="6158" max="6158" width="5.140625" customWidth="1"/>
    <col min="6159" max="6159" width="6.28515625" customWidth="1"/>
    <col min="6160" max="6160" width="6.140625" customWidth="1"/>
    <col min="6161" max="6163" width="6.28515625" customWidth="1"/>
    <col min="6164" max="6164" width="6.7109375" customWidth="1"/>
    <col min="6400" max="6400" width="6.85546875" customWidth="1"/>
    <col min="6401" max="6401" width="8.42578125" customWidth="1"/>
    <col min="6402" max="6402" width="29.28515625" customWidth="1"/>
    <col min="6403" max="6403" width="7.28515625" customWidth="1"/>
    <col min="6404" max="6404" width="6.85546875" customWidth="1"/>
    <col min="6405" max="6405" width="7.140625" customWidth="1"/>
    <col min="6406" max="6406" width="6.85546875" customWidth="1"/>
    <col min="6407" max="6407" width="7" customWidth="1"/>
    <col min="6408" max="6408" width="7.5703125" customWidth="1"/>
    <col min="6409" max="6409" width="6.7109375" customWidth="1"/>
    <col min="6410" max="6410" width="8.140625" customWidth="1"/>
    <col min="6411" max="6411" width="6.7109375" customWidth="1"/>
    <col min="6412" max="6412" width="6.85546875" customWidth="1"/>
    <col min="6413" max="6413" width="6.140625" customWidth="1"/>
    <col min="6414" max="6414" width="5.140625" customWidth="1"/>
    <col min="6415" max="6415" width="6.28515625" customWidth="1"/>
    <col min="6416" max="6416" width="6.140625" customWidth="1"/>
    <col min="6417" max="6419" width="6.28515625" customWidth="1"/>
    <col min="6420" max="6420" width="6.7109375" customWidth="1"/>
    <col min="6656" max="6656" width="6.85546875" customWidth="1"/>
    <col min="6657" max="6657" width="8.42578125" customWidth="1"/>
    <col min="6658" max="6658" width="29.28515625" customWidth="1"/>
    <col min="6659" max="6659" width="7.28515625" customWidth="1"/>
    <col min="6660" max="6660" width="6.85546875" customWidth="1"/>
    <col min="6661" max="6661" width="7.140625" customWidth="1"/>
    <col min="6662" max="6662" width="6.85546875" customWidth="1"/>
    <col min="6663" max="6663" width="7" customWidth="1"/>
    <col min="6664" max="6664" width="7.5703125" customWidth="1"/>
    <col min="6665" max="6665" width="6.7109375" customWidth="1"/>
    <col min="6666" max="6666" width="8.140625" customWidth="1"/>
    <col min="6667" max="6667" width="6.7109375" customWidth="1"/>
    <col min="6668" max="6668" width="6.85546875" customWidth="1"/>
    <col min="6669" max="6669" width="6.140625" customWidth="1"/>
    <col min="6670" max="6670" width="5.140625" customWidth="1"/>
    <col min="6671" max="6671" width="6.28515625" customWidth="1"/>
    <col min="6672" max="6672" width="6.140625" customWidth="1"/>
    <col min="6673" max="6675" width="6.28515625" customWidth="1"/>
    <col min="6676" max="6676" width="6.7109375" customWidth="1"/>
    <col min="6912" max="6912" width="6.85546875" customWidth="1"/>
    <col min="6913" max="6913" width="8.42578125" customWidth="1"/>
    <col min="6914" max="6914" width="29.28515625" customWidth="1"/>
    <col min="6915" max="6915" width="7.28515625" customWidth="1"/>
    <col min="6916" max="6916" width="6.85546875" customWidth="1"/>
    <col min="6917" max="6917" width="7.140625" customWidth="1"/>
    <col min="6918" max="6918" width="6.85546875" customWidth="1"/>
    <col min="6919" max="6919" width="7" customWidth="1"/>
    <col min="6920" max="6920" width="7.5703125" customWidth="1"/>
    <col min="6921" max="6921" width="6.7109375" customWidth="1"/>
    <col min="6922" max="6922" width="8.140625" customWidth="1"/>
    <col min="6923" max="6923" width="6.7109375" customWidth="1"/>
    <col min="6924" max="6924" width="6.85546875" customWidth="1"/>
    <col min="6925" max="6925" width="6.140625" customWidth="1"/>
    <col min="6926" max="6926" width="5.140625" customWidth="1"/>
    <col min="6927" max="6927" width="6.28515625" customWidth="1"/>
    <col min="6928" max="6928" width="6.140625" customWidth="1"/>
    <col min="6929" max="6931" width="6.28515625" customWidth="1"/>
    <col min="6932" max="6932" width="6.7109375" customWidth="1"/>
    <col min="7168" max="7168" width="6.85546875" customWidth="1"/>
    <col min="7169" max="7169" width="8.42578125" customWidth="1"/>
    <col min="7170" max="7170" width="29.28515625" customWidth="1"/>
    <col min="7171" max="7171" width="7.28515625" customWidth="1"/>
    <col min="7172" max="7172" width="6.85546875" customWidth="1"/>
    <col min="7173" max="7173" width="7.140625" customWidth="1"/>
    <col min="7174" max="7174" width="6.85546875" customWidth="1"/>
    <col min="7175" max="7175" width="7" customWidth="1"/>
    <col min="7176" max="7176" width="7.5703125" customWidth="1"/>
    <col min="7177" max="7177" width="6.7109375" customWidth="1"/>
    <col min="7178" max="7178" width="8.140625" customWidth="1"/>
    <col min="7179" max="7179" width="6.7109375" customWidth="1"/>
    <col min="7180" max="7180" width="6.85546875" customWidth="1"/>
    <col min="7181" max="7181" width="6.140625" customWidth="1"/>
    <col min="7182" max="7182" width="5.140625" customWidth="1"/>
    <col min="7183" max="7183" width="6.28515625" customWidth="1"/>
    <col min="7184" max="7184" width="6.140625" customWidth="1"/>
    <col min="7185" max="7187" width="6.28515625" customWidth="1"/>
    <col min="7188" max="7188" width="6.7109375" customWidth="1"/>
    <col min="7424" max="7424" width="6.85546875" customWidth="1"/>
    <col min="7425" max="7425" width="8.42578125" customWidth="1"/>
    <col min="7426" max="7426" width="29.28515625" customWidth="1"/>
    <col min="7427" max="7427" width="7.28515625" customWidth="1"/>
    <col min="7428" max="7428" width="6.85546875" customWidth="1"/>
    <col min="7429" max="7429" width="7.140625" customWidth="1"/>
    <col min="7430" max="7430" width="6.85546875" customWidth="1"/>
    <col min="7431" max="7431" width="7" customWidth="1"/>
    <col min="7432" max="7432" width="7.5703125" customWidth="1"/>
    <col min="7433" max="7433" width="6.7109375" customWidth="1"/>
    <col min="7434" max="7434" width="8.140625" customWidth="1"/>
    <col min="7435" max="7435" width="6.7109375" customWidth="1"/>
    <col min="7436" max="7436" width="6.85546875" customWidth="1"/>
    <col min="7437" max="7437" width="6.140625" customWidth="1"/>
    <col min="7438" max="7438" width="5.140625" customWidth="1"/>
    <col min="7439" max="7439" width="6.28515625" customWidth="1"/>
    <col min="7440" max="7440" width="6.140625" customWidth="1"/>
    <col min="7441" max="7443" width="6.28515625" customWidth="1"/>
    <col min="7444" max="7444" width="6.7109375" customWidth="1"/>
    <col min="7680" max="7680" width="6.85546875" customWidth="1"/>
    <col min="7681" max="7681" width="8.42578125" customWidth="1"/>
    <col min="7682" max="7682" width="29.28515625" customWidth="1"/>
    <col min="7683" max="7683" width="7.28515625" customWidth="1"/>
    <col min="7684" max="7684" width="6.85546875" customWidth="1"/>
    <col min="7685" max="7685" width="7.140625" customWidth="1"/>
    <col min="7686" max="7686" width="6.85546875" customWidth="1"/>
    <col min="7687" max="7687" width="7" customWidth="1"/>
    <col min="7688" max="7688" width="7.5703125" customWidth="1"/>
    <col min="7689" max="7689" width="6.7109375" customWidth="1"/>
    <col min="7690" max="7690" width="8.140625" customWidth="1"/>
    <col min="7691" max="7691" width="6.7109375" customWidth="1"/>
    <col min="7692" max="7692" width="6.85546875" customWidth="1"/>
    <col min="7693" max="7693" width="6.140625" customWidth="1"/>
    <col min="7694" max="7694" width="5.140625" customWidth="1"/>
    <col min="7695" max="7695" width="6.28515625" customWidth="1"/>
    <col min="7696" max="7696" width="6.140625" customWidth="1"/>
    <col min="7697" max="7699" width="6.28515625" customWidth="1"/>
    <col min="7700" max="7700" width="6.7109375" customWidth="1"/>
    <col min="7936" max="7936" width="6.85546875" customWidth="1"/>
    <col min="7937" max="7937" width="8.42578125" customWidth="1"/>
    <col min="7938" max="7938" width="29.28515625" customWidth="1"/>
    <col min="7939" max="7939" width="7.28515625" customWidth="1"/>
    <col min="7940" max="7940" width="6.85546875" customWidth="1"/>
    <col min="7941" max="7941" width="7.140625" customWidth="1"/>
    <col min="7942" max="7942" width="6.85546875" customWidth="1"/>
    <col min="7943" max="7943" width="7" customWidth="1"/>
    <col min="7944" max="7944" width="7.5703125" customWidth="1"/>
    <col min="7945" max="7945" width="6.7109375" customWidth="1"/>
    <col min="7946" max="7946" width="8.140625" customWidth="1"/>
    <col min="7947" max="7947" width="6.7109375" customWidth="1"/>
    <col min="7948" max="7948" width="6.85546875" customWidth="1"/>
    <col min="7949" max="7949" width="6.140625" customWidth="1"/>
    <col min="7950" max="7950" width="5.140625" customWidth="1"/>
    <col min="7951" max="7951" width="6.28515625" customWidth="1"/>
    <col min="7952" max="7952" width="6.140625" customWidth="1"/>
    <col min="7953" max="7955" width="6.28515625" customWidth="1"/>
    <col min="7956" max="7956" width="6.7109375" customWidth="1"/>
    <col min="8192" max="8192" width="6.85546875" customWidth="1"/>
    <col min="8193" max="8193" width="8.42578125" customWidth="1"/>
    <col min="8194" max="8194" width="29.28515625" customWidth="1"/>
    <col min="8195" max="8195" width="7.28515625" customWidth="1"/>
    <col min="8196" max="8196" width="6.85546875" customWidth="1"/>
    <col min="8197" max="8197" width="7.140625" customWidth="1"/>
    <col min="8198" max="8198" width="6.85546875" customWidth="1"/>
    <col min="8199" max="8199" width="7" customWidth="1"/>
    <col min="8200" max="8200" width="7.5703125" customWidth="1"/>
    <col min="8201" max="8201" width="6.7109375" customWidth="1"/>
    <col min="8202" max="8202" width="8.140625" customWidth="1"/>
    <col min="8203" max="8203" width="6.7109375" customWidth="1"/>
    <col min="8204" max="8204" width="6.85546875" customWidth="1"/>
    <col min="8205" max="8205" width="6.140625" customWidth="1"/>
    <col min="8206" max="8206" width="5.140625" customWidth="1"/>
    <col min="8207" max="8207" width="6.28515625" customWidth="1"/>
    <col min="8208" max="8208" width="6.140625" customWidth="1"/>
    <col min="8209" max="8211" width="6.28515625" customWidth="1"/>
    <col min="8212" max="8212" width="6.7109375" customWidth="1"/>
    <col min="8448" max="8448" width="6.85546875" customWidth="1"/>
    <col min="8449" max="8449" width="8.42578125" customWidth="1"/>
    <col min="8450" max="8450" width="29.28515625" customWidth="1"/>
    <col min="8451" max="8451" width="7.28515625" customWidth="1"/>
    <col min="8452" max="8452" width="6.85546875" customWidth="1"/>
    <col min="8453" max="8453" width="7.140625" customWidth="1"/>
    <col min="8454" max="8454" width="6.85546875" customWidth="1"/>
    <col min="8455" max="8455" width="7" customWidth="1"/>
    <col min="8456" max="8456" width="7.5703125" customWidth="1"/>
    <col min="8457" max="8457" width="6.7109375" customWidth="1"/>
    <col min="8458" max="8458" width="8.140625" customWidth="1"/>
    <col min="8459" max="8459" width="6.7109375" customWidth="1"/>
    <col min="8460" max="8460" width="6.85546875" customWidth="1"/>
    <col min="8461" max="8461" width="6.140625" customWidth="1"/>
    <col min="8462" max="8462" width="5.140625" customWidth="1"/>
    <col min="8463" max="8463" width="6.28515625" customWidth="1"/>
    <col min="8464" max="8464" width="6.140625" customWidth="1"/>
    <col min="8465" max="8467" width="6.28515625" customWidth="1"/>
    <col min="8468" max="8468" width="6.7109375" customWidth="1"/>
    <col min="8704" max="8704" width="6.85546875" customWidth="1"/>
    <col min="8705" max="8705" width="8.42578125" customWidth="1"/>
    <col min="8706" max="8706" width="29.28515625" customWidth="1"/>
    <col min="8707" max="8707" width="7.28515625" customWidth="1"/>
    <col min="8708" max="8708" width="6.85546875" customWidth="1"/>
    <col min="8709" max="8709" width="7.140625" customWidth="1"/>
    <col min="8710" max="8710" width="6.85546875" customWidth="1"/>
    <col min="8711" max="8711" width="7" customWidth="1"/>
    <col min="8712" max="8712" width="7.5703125" customWidth="1"/>
    <col min="8713" max="8713" width="6.7109375" customWidth="1"/>
    <col min="8714" max="8714" width="8.140625" customWidth="1"/>
    <col min="8715" max="8715" width="6.7109375" customWidth="1"/>
    <col min="8716" max="8716" width="6.85546875" customWidth="1"/>
    <col min="8717" max="8717" width="6.140625" customWidth="1"/>
    <col min="8718" max="8718" width="5.140625" customWidth="1"/>
    <col min="8719" max="8719" width="6.28515625" customWidth="1"/>
    <col min="8720" max="8720" width="6.140625" customWidth="1"/>
    <col min="8721" max="8723" width="6.28515625" customWidth="1"/>
    <col min="8724" max="8724" width="6.7109375" customWidth="1"/>
    <col min="8960" max="8960" width="6.85546875" customWidth="1"/>
    <col min="8961" max="8961" width="8.42578125" customWidth="1"/>
    <col min="8962" max="8962" width="29.28515625" customWidth="1"/>
    <col min="8963" max="8963" width="7.28515625" customWidth="1"/>
    <col min="8964" max="8964" width="6.85546875" customWidth="1"/>
    <col min="8965" max="8965" width="7.140625" customWidth="1"/>
    <col min="8966" max="8966" width="6.85546875" customWidth="1"/>
    <col min="8967" max="8967" width="7" customWidth="1"/>
    <col min="8968" max="8968" width="7.5703125" customWidth="1"/>
    <col min="8969" max="8969" width="6.7109375" customWidth="1"/>
    <col min="8970" max="8970" width="8.140625" customWidth="1"/>
    <col min="8971" max="8971" width="6.7109375" customWidth="1"/>
    <col min="8972" max="8972" width="6.85546875" customWidth="1"/>
    <col min="8973" max="8973" width="6.140625" customWidth="1"/>
    <col min="8974" max="8974" width="5.140625" customWidth="1"/>
    <col min="8975" max="8975" width="6.28515625" customWidth="1"/>
    <col min="8976" max="8976" width="6.140625" customWidth="1"/>
    <col min="8977" max="8979" width="6.28515625" customWidth="1"/>
    <col min="8980" max="8980" width="6.7109375" customWidth="1"/>
    <col min="9216" max="9216" width="6.85546875" customWidth="1"/>
    <col min="9217" max="9217" width="8.42578125" customWidth="1"/>
    <col min="9218" max="9218" width="29.28515625" customWidth="1"/>
    <col min="9219" max="9219" width="7.28515625" customWidth="1"/>
    <col min="9220" max="9220" width="6.85546875" customWidth="1"/>
    <col min="9221" max="9221" width="7.140625" customWidth="1"/>
    <col min="9222" max="9222" width="6.85546875" customWidth="1"/>
    <col min="9223" max="9223" width="7" customWidth="1"/>
    <col min="9224" max="9224" width="7.5703125" customWidth="1"/>
    <col min="9225" max="9225" width="6.7109375" customWidth="1"/>
    <col min="9226" max="9226" width="8.140625" customWidth="1"/>
    <col min="9227" max="9227" width="6.7109375" customWidth="1"/>
    <col min="9228" max="9228" width="6.85546875" customWidth="1"/>
    <col min="9229" max="9229" width="6.140625" customWidth="1"/>
    <col min="9230" max="9230" width="5.140625" customWidth="1"/>
    <col min="9231" max="9231" width="6.28515625" customWidth="1"/>
    <col min="9232" max="9232" width="6.140625" customWidth="1"/>
    <col min="9233" max="9235" width="6.28515625" customWidth="1"/>
    <col min="9236" max="9236" width="6.7109375" customWidth="1"/>
    <col min="9472" max="9472" width="6.85546875" customWidth="1"/>
    <col min="9473" max="9473" width="8.42578125" customWidth="1"/>
    <col min="9474" max="9474" width="29.28515625" customWidth="1"/>
    <col min="9475" max="9475" width="7.28515625" customWidth="1"/>
    <col min="9476" max="9476" width="6.85546875" customWidth="1"/>
    <col min="9477" max="9477" width="7.140625" customWidth="1"/>
    <col min="9478" max="9478" width="6.85546875" customWidth="1"/>
    <col min="9479" max="9479" width="7" customWidth="1"/>
    <col min="9480" max="9480" width="7.5703125" customWidth="1"/>
    <col min="9481" max="9481" width="6.7109375" customWidth="1"/>
    <col min="9482" max="9482" width="8.140625" customWidth="1"/>
    <col min="9483" max="9483" width="6.7109375" customWidth="1"/>
    <col min="9484" max="9484" width="6.85546875" customWidth="1"/>
    <col min="9485" max="9485" width="6.140625" customWidth="1"/>
    <col min="9486" max="9486" width="5.140625" customWidth="1"/>
    <col min="9487" max="9487" width="6.28515625" customWidth="1"/>
    <col min="9488" max="9488" width="6.140625" customWidth="1"/>
    <col min="9489" max="9491" width="6.28515625" customWidth="1"/>
    <col min="9492" max="9492" width="6.7109375" customWidth="1"/>
    <col min="9728" max="9728" width="6.85546875" customWidth="1"/>
    <col min="9729" max="9729" width="8.42578125" customWidth="1"/>
    <col min="9730" max="9730" width="29.28515625" customWidth="1"/>
    <col min="9731" max="9731" width="7.28515625" customWidth="1"/>
    <col min="9732" max="9732" width="6.85546875" customWidth="1"/>
    <col min="9733" max="9733" width="7.140625" customWidth="1"/>
    <col min="9734" max="9734" width="6.85546875" customWidth="1"/>
    <col min="9735" max="9735" width="7" customWidth="1"/>
    <col min="9736" max="9736" width="7.5703125" customWidth="1"/>
    <col min="9737" max="9737" width="6.7109375" customWidth="1"/>
    <col min="9738" max="9738" width="8.140625" customWidth="1"/>
    <col min="9739" max="9739" width="6.7109375" customWidth="1"/>
    <col min="9740" max="9740" width="6.85546875" customWidth="1"/>
    <col min="9741" max="9741" width="6.140625" customWidth="1"/>
    <col min="9742" max="9742" width="5.140625" customWidth="1"/>
    <col min="9743" max="9743" width="6.28515625" customWidth="1"/>
    <col min="9744" max="9744" width="6.140625" customWidth="1"/>
    <col min="9745" max="9747" width="6.28515625" customWidth="1"/>
    <col min="9748" max="9748" width="6.7109375" customWidth="1"/>
    <col min="9984" max="9984" width="6.85546875" customWidth="1"/>
    <col min="9985" max="9985" width="8.42578125" customWidth="1"/>
    <col min="9986" max="9986" width="29.28515625" customWidth="1"/>
    <col min="9987" max="9987" width="7.28515625" customWidth="1"/>
    <col min="9988" max="9988" width="6.85546875" customWidth="1"/>
    <col min="9989" max="9989" width="7.140625" customWidth="1"/>
    <col min="9990" max="9990" width="6.85546875" customWidth="1"/>
    <col min="9991" max="9991" width="7" customWidth="1"/>
    <col min="9992" max="9992" width="7.5703125" customWidth="1"/>
    <col min="9993" max="9993" width="6.7109375" customWidth="1"/>
    <col min="9994" max="9994" width="8.140625" customWidth="1"/>
    <col min="9995" max="9995" width="6.7109375" customWidth="1"/>
    <col min="9996" max="9996" width="6.85546875" customWidth="1"/>
    <col min="9997" max="9997" width="6.140625" customWidth="1"/>
    <col min="9998" max="9998" width="5.140625" customWidth="1"/>
    <col min="9999" max="9999" width="6.28515625" customWidth="1"/>
    <col min="10000" max="10000" width="6.140625" customWidth="1"/>
    <col min="10001" max="10003" width="6.28515625" customWidth="1"/>
    <col min="10004" max="10004" width="6.7109375" customWidth="1"/>
    <col min="10240" max="10240" width="6.85546875" customWidth="1"/>
    <col min="10241" max="10241" width="8.42578125" customWidth="1"/>
    <col min="10242" max="10242" width="29.28515625" customWidth="1"/>
    <col min="10243" max="10243" width="7.28515625" customWidth="1"/>
    <col min="10244" max="10244" width="6.85546875" customWidth="1"/>
    <col min="10245" max="10245" width="7.140625" customWidth="1"/>
    <col min="10246" max="10246" width="6.85546875" customWidth="1"/>
    <col min="10247" max="10247" width="7" customWidth="1"/>
    <col min="10248" max="10248" width="7.5703125" customWidth="1"/>
    <col min="10249" max="10249" width="6.7109375" customWidth="1"/>
    <col min="10250" max="10250" width="8.140625" customWidth="1"/>
    <col min="10251" max="10251" width="6.7109375" customWidth="1"/>
    <col min="10252" max="10252" width="6.85546875" customWidth="1"/>
    <col min="10253" max="10253" width="6.140625" customWidth="1"/>
    <col min="10254" max="10254" width="5.140625" customWidth="1"/>
    <col min="10255" max="10255" width="6.28515625" customWidth="1"/>
    <col min="10256" max="10256" width="6.140625" customWidth="1"/>
    <col min="10257" max="10259" width="6.28515625" customWidth="1"/>
    <col min="10260" max="10260" width="6.7109375" customWidth="1"/>
    <col min="10496" max="10496" width="6.85546875" customWidth="1"/>
    <col min="10497" max="10497" width="8.42578125" customWidth="1"/>
    <col min="10498" max="10498" width="29.28515625" customWidth="1"/>
    <col min="10499" max="10499" width="7.28515625" customWidth="1"/>
    <col min="10500" max="10500" width="6.85546875" customWidth="1"/>
    <col min="10501" max="10501" width="7.140625" customWidth="1"/>
    <col min="10502" max="10502" width="6.85546875" customWidth="1"/>
    <col min="10503" max="10503" width="7" customWidth="1"/>
    <col min="10504" max="10504" width="7.5703125" customWidth="1"/>
    <col min="10505" max="10505" width="6.7109375" customWidth="1"/>
    <col min="10506" max="10506" width="8.140625" customWidth="1"/>
    <col min="10507" max="10507" width="6.7109375" customWidth="1"/>
    <col min="10508" max="10508" width="6.85546875" customWidth="1"/>
    <col min="10509" max="10509" width="6.140625" customWidth="1"/>
    <col min="10510" max="10510" width="5.140625" customWidth="1"/>
    <col min="10511" max="10511" width="6.28515625" customWidth="1"/>
    <col min="10512" max="10512" width="6.140625" customWidth="1"/>
    <col min="10513" max="10515" width="6.28515625" customWidth="1"/>
    <col min="10516" max="10516" width="6.7109375" customWidth="1"/>
    <col min="10752" max="10752" width="6.85546875" customWidth="1"/>
    <col min="10753" max="10753" width="8.42578125" customWidth="1"/>
    <col min="10754" max="10754" width="29.28515625" customWidth="1"/>
    <col min="10755" max="10755" width="7.28515625" customWidth="1"/>
    <col min="10756" max="10756" width="6.85546875" customWidth="1"/>
    <col min="10757" max="10757" width="7.140625" customWidth="1"/>
    <col min="10758" max="10758" width="6.85546875" customWidth="1"/>
    <col min="10759" max="10759" width="7" customWidth="1"/>
    <col min="10760" max="10760" width="7.5703125" customWidth="1"/>
    <col min="10761" max="10761" width="6.7109375" customWidth="1"/>
    <col min="10762" max="10762" width="8.140625" customWidth="1"/>
    <col min="10763" max="10763" width="6.7109375" customWidth="1"/>
    <col min="10764" max="10764" width="6.85546875" customWidth="1"/>
    <col min="10765" max="10765" width="6.140625" customWidth="1"/>
    <col min="10766" max="10766" width="5.140625" customWidth="1"/>
    <col min="10767" max="10767" width="6.28515625" customWidth="1"/>
    <col min="10768" max="10768" width="6.140625" customWidth="1"/>
    <col min="10769" max="10771" width="6.28515625" customWidth="1"/>
    <col min="10772" max="10772" width="6.7109375" customWidth="1"/>
    <col min="11008" max="11008" width="6.85546875" customWidth="1"/>
    <col min="11009" max="11009" width="8.42578125" customWidth="1"/>
    <col min="11010" max="11010" width="29.28515625" customWidth="1"/>
    <col min="11011" max="11011" width="7.28515625" customWidth="1"/>
    <col min="11012" max="11012" width="6.85546875" customWidth="1"/>
    <col min="11013" max="11013" width="7.140625" customWidth="1"/>
    <col min="11014" max="11014" width="6.85546875" customWidth="1"/>
    <col min="11015" max="11015" width="7" customWidth="1"/>
    <col min="11016" max="11016" width="7.5703125" customWidth="1"/>
    <col min="11017" max="11017" width="6.7109375" customWidth="1"/>
    <col min="11018" max="11018" width="8.140625" customWidth="1"/>
    <col min="11019" max="11019" width="6.7109375" customWidth="1"/>
    <col min="11020" max="11020" width="6.85546875" customWidth="1"/>
    <col min="11021" max="11021" width="6.140625" customWidth="1"/>
    <col min="11022" max="11022" width="5.140625" customWidth="1"/>
    <col min="11023" max="11023" width="6.28515625" customWidth="1"/>
    <col min="11024" max="11024" width="6.140625" customWidth="1"/>
    <col min="11025" max="11027" width="6.28515625" customWidth="1"/>
    <col min="11028" max="11028" width="6.7109375" customWidth="1"/>
    <col min="11264" max="11264" width="6.85546875" customWidth="1"/>
    <col min="11265" max="11265" width="8.42578125" customWidth="1"/>
    <col min="11266" max="11266" width="29.28515625" customWidth="1"/>
    <col min="11267" max="11267" width="7.28515625" customWidth="1"/>
    <col min="11268" max="11268" width="6.85546875" customWidth="1"/>
    <col min="11269" max="11269" width="7.140625" customWidth="1"/>
    <col min="11270" max="11270" width="6.85546875" customWidth="1"/>
    <col min="11271" max="11271" width="7" customWidth="1"/>
    <col min="11272" max="11272" width="7.5703125" customWidth="1"/>
    <col min="11273" max="11273" width="6.7109375" customWidth="1"/>
    <col min="11274" max="11274" width="8.140625" customWidth="1"/>
    <col min="11275" max="11275" width="6.7109375" customWidth="1"/>
    <col min="11276" max="11276" width="6.85546875" customWidth="1"/>
    <col min="11277" max="11277" width="6.140625" customWidth="1"/>
    <col min="11278" max="11278" width="5.140625" customWidth="1"/>
    <col min="11279" max="11279" width="6.28515625" customWidth="1"/>
    <col min="11280" max="11280" width="6.140625" customWidth="1"/>
    <col min="11281" max="11283" width="6.28515625" customWidth="1"/>
    <col min="11284" max="11284" width="6.7109375" customWidth="1"/>
    <col min="11520" max="11520" width="6.85546875" customWidth="1"/>
    <col min="11521" max="11521" width="8.42578125" customWidth="1"/>
    <col min="11522" max="11522" width="29.28515625" customWidth="1"/>
    <col min="11523" max="11523" width="7.28515625" customWidth="1"/>
    <col min="11524" max="11524" width="6.85546875" customWidth="1"/>
    <col min="11525" max="11525" width="7.140625" customWidth="1"/>
    <col min="11526" max="11526" width="6.85546875" customWidth="1"/>
    <col min="11527" max="11527" width="7" customWidth="1"/>
    <col min="11528" max="11528" width="7.5703125" customWidth="1"/>
    <col min="11529" max="11529" width="6.7109375" customWidth="1"/>
    <col min="11530" max="11530" width="8.140625" customWidth="1"/>
    <col min="11531" max="11531" width="6.7109375" customWidth="1"/>
    <col min="11532" max="11532" width="6.85546875" customWidth="1"/>
    <col min="11533" max="11533" width="6.140625" customWidth="1"/>
    <col min="11534" max="11534" width="5.140625" customWidth="1"/>
    <col min="11535" max="11535" width="6.28515625" customWidth="1"/>
    <col min="11536" max="11536" width="6.140625" customWidth="1"/>
    <col min="11537" max="11539" width="6.28515625" customWidth="1"/>
    <col min="11540" max="11540" width="6.7109375" customWidth="1"/>
    <col min="11776" max="11776" width="6.85546875" customWidth="1"/>
    <col min="11777" max="11777" width="8.42578125" customWidth="1"/>
    <col min="11778" max="11778" width="29.28515625" customWidth="1"/>
    <col min="11779" max="11779" width="7.28515625" customWidth="1"/>
    <col min="11780" max="11780" width="6.85546875" customWidth="1"/>
    <col min="11781" max="11781" width="7.140625" customWidth="1"/>
    <col min="11782" max="11782" width="6.85546875" customWidth="1"/>
    <col min="11783" max="11783" width="7" customWidth="1"/>
    <col min="11784" max="11784" width="7.5703125" customWidth="1"/>
    <col min="11785" max="11785" width="6.7109375" customWidth="1"/>
    <col min="11786" max="11786" width="8.140625" customWidth="1"/>
    <col min="11787" max="11787" width="6.7109375" customWidth="1"/>
    <col min="11788" max="11788" width="6.85546875" customWidth="1"/>
    <col min="11789" max="11789" width="6.140625" customWidth="1"/>
    <col min="11790" max="11790" width="5.140625" customWidth="1"/>
    <col min="11791" max="11791" width="6.28515625" customWidth="1"/>
    <col min="11792" max="11792" width="6.140625" customWidth="1"/>
    <col min="11793" max="11795" width="6.28515625" customWidth="1"/>
    <col min="11796" max="11796" width="6.7109375" customWidth="1"/>
    <col min="12032" max="12032" width="6.85546875" customWidth="1"/>
    <col min="12033" max="12033" width="8.42578125" customWidth="1"/>
    <col min="12034" max="12034" width="29.28515625" customWidth="1"/>
    <col min="12035" max="12035" width="7.28515625" customWidth="1"/>
    <col min="12036" max="12036" width="6.85546875" customWidth="1"/>
    <col min="12037" max="12037" width="7.140625" customWidth="1"/>
    <col min="12038" max="12038" width="6.85546875" customWidth="1"/>
    <col min="12039" max="12039" width="7" customWidth="1"/>
    <col min="12040" max="12040" width="7.5703125" customWidth="1"/>
    <col min="12041" max="12041" width="6.7109375" customWidth="1"/>
    <col min="12042" max="12042" width="8.140625" customWidth="1"/>
    <col min="12043" max="12043" width="6.7109375" customWidth="1"/>
    <col min="12044" max="12044" width="6.85546875" customWidth="1"/>
    <col min="12045" max="12045" width="6.140625" customWidth="1"/>
    <col min="12046" max="12046" width="5.140625" customWidth="1"/>
    <col min="12047" max="12047" width="6.28515625" customWidth="1"/>
    <col min="12048" max="12048" width="6.140625" customWidth="1"/>
    <col min="12049" max="12051" width="6.28515625" customWidth="1"/>
    <col min="12052" max="12052" width="6.7109375" customWidth="1"/>
    <col min="12288" max="12288" width="6.85546875" customWidth="1"/>
    <col min="12289" max="12289" width="8.42578125" customWidth="1"/>
    <col min="12290" max="12290" width="29.28515625" customWidth="1"/>
    <col min="12291" max="12291" width="7.28515625" customWidth="1"/>
    <col min="12292" max="12292" width="6.85546875" customWidth="1"/>
    <col min="12293" max="12293" width="7.140625" customWidth="1"/>
    <col min="12294" max="12294" width="6.85546875" customWidth="1"/>
    <col min="12295" max="12295" width="7" customWidth="1"/>
    <col min="12296" max="12296" width="7.5703125" customWidth="1"/>
    <col min="12297" max="12297" width="6.7109375" customWidth="1"/>
    <col min="12298" max="12298" width="8.140625" customWidth="1"/>
    <col min="12299" max="12299" width="6.7109375" customWidth="1"/>
    <col min="12300" max="12300" width="6.85546875" customWidth="1"/>
    <col min="12301" max="12301" width="6.140625" customWidth="1"/>
    <col min="12302" max="12302" width="5.140625" customWidth="1"/>
    <col min="12303" max="12303" width="6.28515625" customWidth="1"/>
    <col min="12304" max="12304" width="6.140625" customWidth="1"/>
    <col min="12305" max="12307" width="6.28515625" customWidth="1"/>
    <col min="12308" max="12308" width="6.7109375" customWidth="1"/>
    <col min="12544" max="12544" width="6.85546875" customWidth="1"/>
    <col min="12545" max="12545" width="8.42578125" customWidth="1"/>
    <col min="12546" max="12546" width="29.28515625" customWidth="1"/>
    <col min="12547" max="12547" width="7.28515625" customWidth="1"/>
    <col min="12548" max="12548" width="6.85546875" customWidth="1"/>
    <col min="12549" max="12549" width="7.140625" customWidth="1"/>
    <col min="12550" max="12550" width="6.85546875" customWidth="1"/>
    <col min="12551" max="12551" width="7" customWidth="1"/>
    <col min="12552" max="12552" width="7.5703125" customWidth="1"/>
    <col min="12553" max="12553" width="6.7109375" customWidth="1"/>
    <col min="12554" max="12554" width="8.140625" customWidth="1"/>
    <col min="12555" max="12555" width="6.7109375" customWidth="1"/>
    <col min="12556" max="12556" width="6.85546875" customWidth="1"/>
    <col min="12557" max="12557" width="6.140625" customWidth="1"/>
    <col min="12558" max="12558" width="5.140625" customWidth="1"/>
    <col min="12559" max="12559" width="6.28515625" customWidth="1"/>
    <col min="12560" max="12560" width="6.140625" customWidth="1"/>
    <col min="12561" max="12563" width="6.28515625" customWidth="1"/>
    <col min="12564" max="12564" width="6.7109375" customWidth="1"/>
    <col min="12800" max="12800" width="6.85546875" customWidth="1"/>
    <col min="12801" max="12801" width="8.42578125" customWidth="1"/>
    <col min="12802" max="12802" width="29.28515625" customWidth="1"/>
    <col min="12803" max="12803" width="7.28515625" customWidth="1"/>
    <col min="12804" max="12804" width="6.85546875" customWidth="1"/>
    <col min="12805" max="12805" width="7.140625" customWidth="1"/>
    <col min="12806" max="12806" width="6.85546875" customWidth="1"/>
    <col min="12807" max="12807" width="7" customWidth="1"/>
    <col min="12808" max="12808" width="7.5703125" customWidth="1"/>
    <col min="12809" max="12809" width="6.7109375" customWidth="1"/>
    <col min="12810" max="12810" width="8.140625" customWidth="1"/>
    <col min="12811" max="12811" width="6.7109375" customWidth="1"/>
    <col min="12812" max="12812" width="6.85546875" customWidth="1"/>
    <col min="12813" max="12813" width="6.140625" customWidth="1"/>
    <col min="12814" max="12814" width="5.140625" customWidth="1"/>
    <col min="12815" max="12815" width="6.28515625" customWidth="1"/>
    <col min="12816" max="12816" width="6.140625" customWidth="1"/>
    <col min="12817" max="12819" width="6.28515625" customWidth="1"/>
    <col min="12820" max="12820" width="6.7109375" customWidth="1"/>
    <col min="13056" max="13056" width="6.85546875" customWidth="1"/>
    <col min="13057" max="13057" width="8.42578125" customWidth="1"/>
    <col min="13058" max="13058" width="29.28515625" customWidth="1"/>
    <col min="13059" max="13059" width="7.28515625" customWidth="1"/>
    <col min="13060" max="13060" width="6.85546875" customWidth="1"/>
    <col min="13061" max="13061" width="7.140625" customWidth="1"/>
    <col min="13062" max="13062" width="6.85546875" customWidth="1"/>
    <col min="13063" max="13063" width="7" customWidth="1"/>
    <col min="13064" max="13064" width="7.5703125" customWidth="1"/>
    <col min="13065" max="13065" width="6.7109375" customWidth="1"/>
    <col min="13066" max="13066" width="8.140625" customWidth="1"/>
    <col min="13067" max="13067" width="6.7109375" customWidth="1"/>
    <col min="13068" max="13068" width="6.85546875" customWidth="1"/>
    <col min="13069" max="13069" width="6.140625" customWidth="1"/>
    <col min="13070" max="13070" width="5.140625" customWidth="1"/>
    <col min="13071" max="13071" width="6.28515625" customWidth="1"/>
    <col min="13072" max="13072" width="6.140625" customWidth="1"/>
    <col min="13073" max="13075" width="6.28515625" customWidth="1"/>
    <col min="13076" max="13076" width="6.7109375" customWidth="1"/>
    <col min="13312" max="13312" width="6.85546875" customWidth="1"/>
    <col min="13313" max="13313" width="8.42578125" customWidth="1"/>
    <col min="13314" max="13314" width="29.28515625" customWidth="1"/>
    <col min="13315" max="13315" width="7.28515625" customWidth="1"/>
    <col min="13316" max="13316" width="6.85546875" customWidth="1"/>
    <col min="13317" max="13317" width="7.140625" customWidth="1"/>
    <col min="13318" max="13318" width="6.85546875" customWidth="1"/>
    <col min="13319" max="13319" width="7" customWidth="1"/>
    <col min="13320" max="13320" width="7.5703125" customWidth="1"/>
    <col min="13321" max="13321" width="6.7109375" customWidth="1"/>
    <col min="13322" max="13322" width="8.140625" customWidth="1"/>
    <col min="13323" max="13323" width="6.7109375" customWidth="1"/>
    <col min="13324" max="13324" width="6.85546875" customWidth="1"/>
    <col min="13325" max="13325" width="6.140625" customWidth="1"/>
    <col min="13326" max="13326" width="5.140625" customWidth="1"/>
    <col min="13327" max="13327" width="6.28515625" customWidth="1"/>
    <col min="13328" max="13328" width="6.140625" customWidth="1"/>
    <col min="13329" max="13331" width="6.28515625" customWidth="1"/>
    <col min="13332" max="13332" width="6.7109375" customWidth="1"/>
    <col min="13568" max="13568" width="6.85546875" customWidth="1"/>
    <col min="13569" max="13569" width="8.42578125" customWidth="1"/>
    <col min="13570" max="13570" width="29.28515625" customWidth="1"/>
    <col min="13571" max="13571" width="7.28515625" customWidth="1"/>
    <col min="13572" max="13572" width="6.85546875" customWidth="1"/>
    <col min="13573" max="13573" width="7.140625" customWidth="1"/>
    <col min="13574" max="13574" width="6.85546875" customWidth="1"/>
    <col min="13575" max="13575" width="7" customWidth="1"/>
    <col min="13576" max="13576" width="7.5703125" customWidth="1"/>
    <col min="13577" max="13577" width="6.7109375" customWidth="1"/>
    <col min="13578" max="13578" width="8.140625" customWidth="1"/>
    <col min="13579" max="13579" width="6.7109375" customWidth="1"/>
    <col min="13580" max="13580" width="6.85546875" customWidth="1"/>
    <col min="13581" max="13581" width="6.140625" customWidth="1"/>
    <col min="13582" max="13582" width="5.140625" customWidth="1"/>
    <col min="13583" max="13583" width="6.28515625" customWidth="1"/>
    <col min="13584" max="13584" width="6.140625" customWidth="1"/>
    <col min="13585" max="13587" width="6.28515625" customWidth="1"/>
    <col min="13588" max="13588" width="6.7109375" customWidth="1"/>
    <col min="13824" max="13824" width="6.85546875" customWidth="1"/>
    <col min="13825" max="13825" width="8.42578125" customWidth="1"/>
    <col min="13826" max="13826" width="29.28515625" customWidth="1"/>
    <col min="13827" max="13827" width="7.28515625" customWidth="1"/>
    <col min="13828" max="13828" width="6.85546875" customWidth="1"/>
    <col min="13829" max="13829" width="7.140625" customWidth="1"/>
    <col min="13830" max="13830" width="6.85546875" customWidth="1"/>
    <col min="13831" max="13831" width="7" customWidth="1"/>
    <col min="13832" max="13832" width="7.5703125" customWidth="1"/>
    <col min="13833" max="13833" width="6.7109375" customWidth="1"/>
    <col min="13834" max="13834" width="8.140625" customWidth="1"/>
    <col min="13835" max="13835" width="6.7109375" customWidth="1"/>
    <col min="13836" max="13836" width="6.85546875" customWidth="1"/>
    <col min="13837" max="13837" width="6.140625" customWidth="1"/>
    <col min="13838" max="13838" width="5.140625" customWidth="1"/>
    <col min="13839" max="13839" width="6.28515625" customWidth="1"/>
    <col min="13840" max="13840" width="6.140625" customWidth="1"/>
    <col min="13841" max="13843" width="6.28515625" customWidth="1"/>
    <col min="13844" max="13844" width="6.7109375" customWidth="1"/>
    <col min="14080" max="14080" width="6.85546875" customWidth="1"/>
    <col min="14081" max="14081" width="8.42578125" customWidth="1"/>
    <col min="14082" max="14082" width="29.28515625" customWidth="1"/>
    <col min="14083" max="14083" width="7.28515625" customWidth="1"/>
    <col min="14084" max="14084" width="6.85546875" customWidth="1"/>
    <col min="14085" max="14085" width="7.140625" customWidth="1"/>
    <col min="14086" max="14086" width="6.85546875" customWidth="1"/>
    <col min="14087" max="14087" width="7" customWidth="1"/>
    <col min="14088" max="14088" width="7.5703125" customWidth="1"/>
    <col min="14089" max="14089" width="6.7109375" customWidth="1"/>
    <col min="14090" max="14090" width="8.140625" customWidth="1"/>
    <col min="14091" max="14091" width="6.7109375" customWidth="1"/>
    <col min="14092" max="14092" width="6.85546875" customWidth="1"/>
    <col min="14093" max="14093" width="6.140625" customWidth="1"/>
    <col min="14094" max="14094" width="5.140625" customWidth="1"/>
    <col min="14095" max="14095" width="6.28515625" customWidth="1"/>
    <col min="14096" max="14096" width="6.140625" customWidth="1"/>
    <col min="14097" max="14099" width="6.28515625" customWidth="1"/>
    <col min="14100" max="14100" width="6.7109375" customWidth="1"/>
    <col min="14336" max="14336" width="6.85546875" customWidth="1"/>
    <col min="14337" max="14337" width="8.42578125" customWidth="1"/>
    <col min="14338" max="14338" width="29.28515625" customWidth="1"/>
    <col min="14339" max="14339" width="7.28515625" customWidth="1"/>
    <col min="14340" max="14340" width="6.85546875" customWidth="1"/>
    <col min="14341" max="14341" width="7.140625" customWidth="1"/>
    <col min="14342" max="14342" width="6.85546875" customWidth="1"/>
    <col min="14343" max="14343" width="7" customWidth="1"/>
    <col min="14344" max="14344" width="7.5703125" customWidth="1"/>
    <col min="14345" max="14345" width="6.7109375" customWidth="1"/>
    <col min="14346" max="14346" width="8.140625" customWidth="1"/>
    <col min="14347" max="14347" width="6.7109375" customWidth="1"/>
    <col min="14348" max="14348" width="6.85546875" customWidth="1"/>
    <col min="14349" max="14349" width="6.140625" customWidth="1"/>
    <col min="14350" max="14350" width="5.140625" customWidth="1"/>
    <col min="14351" max="14351" width="6.28515625" customWidth="1"/>
    <col min="14352" max="14352" width="6.140625" customWidth="1"/>
    <col min="14353" max="14355" width="6.28515625" customWidth="1"/>
    <col min="14356" max="14356" width="6.7109375" customWidth="1"/>
    <col min="14592" max="14592" width="6.85546875" customWidth="1"/>
    <col min="14593" max="14593" width="8.42578125" customWidth="1"/>
    <col min="14594" max="14594" width="29.28515625" customWidth="1"/>
    <col min="14595" max="14595" width="7.28515625" customWidth="1"/>
    <col min="14596" max="14596" width="6.85546875" customWidth="1"/>
    <col min="14597" max="14597" width="7.140625" customWidth="1"/>
    <col min="14598" max="14598" width="6.85546875" customWidth="1"/>
    <col min="14599" max="14599" width="7" customWidth="1"/>
    <col min="14600" max="14600" width="7.5703125" customWidth="1"/>
    <col min="14601" max="14601" width="6.7109375" customWidth="1"/>
    <col min="14602" max="14602" width="8.140625" customWidth="1"/>
    <col min="14603" max="14603" width="6.7109375" customWidth="1"/>
    <col min="14604" max="14604" width="6.85546875" customWidth="1"/>
    <col min="14605" max="14605" width="6.140625" customWidth="1"/>
    <col min="14606" max="14606" width="5.140625" customWidth="1"/>
    <col min="14607" max="14607" width="6.28515625" customWidth="1"/>
    <col min="14608" max="14608" width="6.140625" customWidth="1"/>
    <col min="14609" max="14611" width="6.28515625" customWidth="1"/>
    <col min="14612" max="14612" width="6.7109375" customWidth="1"/>
    <col min="14848" max="14848" width="6.85546875" customWidth="1"/>
    <col min="14849" max="14849" width="8.42578125" customWidth="1"/>
    <col min="14850" max="14850" width="29.28515625" customWidth="1"/>
    <col min="14851" max="14851" width="7.28515625" customWidth="1"/>
    <col min="14852" max="14852" width="6.85546875" customWidth="1"/>
    <col min="14853" max="14853" width="7.140625" customWidth="1"/>
    <col min="14854" max="14854" width="6.85546875" customWidth="1"/>
    <col min="14855" max="14855" width="7" customWidth="1"/>
    <col min="14856" max="14856" width="7.5703125" customWidth="1"/>
    <col min="14857" max="14857" width="6.7109375" customWidth="1"/>
    <col min="14858" max="14858" width="8.140625" customWidth="1"/>
    <col min="14859" max="14859" width="6.7109375" customWidth="1"/>
    <col min="14860" max="14860" width="6.85546875" customWidth="1"/>
    <col min="14861" max="14861" width="6.140625" customWidth="1"/>
    <col min="14862" max="14862" width="5.140625" customWidth="1"/>
    <col min="14863" max="14863" width="6.28515625" customWidth="1"/>
    <col min="14864" max="14864" width="6.140625" customWidth="1"/>
    <col min="14865" max="14867" width="6.28515625" customWidth="1"/>
    <col min="14868" max="14868" width="6.7109375" customWidth="1"/>
    <col min="15104" max="15104" width="6.85546875" customWidth="1"/>
    <col min="15105" max="15105" width="8.42578125" customWidth="1"/>
    <col min="15106" max="15106" width="29.28515625" customWidth="1"/>
    <col min="15107" max="15107" width="7.28515625" customWidth="1"/>
    <col min="15108" max="15108" width="6.85546875" customWidth="1"/>
    <col min="15109" max="15109" width="7.140625" customWidth="1"/>
    <col min="15110" max="15110" width="6.85546875" customWidth="1"/>
    <col min="15111" max="15111" width="7" customWidth="1"/>
    <col min="15112" max="15112" width="7.5703125" customWidth="1"/>
    <col min="15113" max="15113" width="6.7109375" customWidth="1"/>
    <col min="15114" max="15114" width="8.140625" customWidth="1"/>
    <col min="15115" max="15115" width="6.7109375" customWidth="1"/>
    <col min="15116" max="15116" width="6.85546875" customWidth="1"/>
    <col min="15117" max="15117" width="6.140625" customWidth="1"/>
    <col min="15118" max="15118" width="5.140625" customWidth="1"/>
    <col min="15119" max="15119" width="6.28515625" customWidth="1"/>
    <col min="15120" max="15120" width="6.140625" customWidth="1"/>
    <col min="15121" max="15123" width="6.28515625" customWidth="1"/>
    <col min="15124" max="15124" width="6.7109375" customWidth="1"/>
    <col min="15360" max="15360" width="6.85546875" customWidth="1"/>
    <col min="15361" max="15361" width="8.42578125" customWidth="1"/>
    <col min="15362" max="15362" width="29.28515625" customWidth="1"/>
    <col min="15363" max="15363" width="7.28515625" customWidth="1"/>
    <col min="15364" max="15364" width="6.85546875" customWidth="1"/>
    <col min="15365" max="15365" width="7.140625" customWidth="1"/>
    <col min="15366" max="15366" width="6.85546875" customWidth="1"/>
    <col min="15367" max="15367" width="7" customWidth="1"/>
    <col min="15368" max="15368" width="7.5703125" customWidth="1"/>
    <col min="15369" max="15369" width="6.7109375" customWidth="1"/>
    <col min="15370" max="15370" width="8.140625" customWidth="1"/>
    <col min="15371" max="15371" width="6.7109375" customWidth="1"/>
    <col min="15372" max="15372" width="6.85546875" customWidth="1"/>
    <col min="15373" max="15373" width="6.140625" customWidth="1"/>
    <col min="15374" max="15374" width="5.140625" customWidth="1"/>
    <col min="15375" max="15375" width="6.28515625" customWidth="1"/>
    <col min="15376" max="15376" width="6.140625" customWidth="1"/>
    <col min="15377" max="15379" width="6.28515625" customWidth="1"/>
    <col min="15380" max="15380" width="6.7109375" customWidth="1"/>
    <col min="15616" max="15616" width="6.85546875" customWidth="1"/>
    <col min="15617" max="15617" width="8.42578125" customWidth="1"/>
    <col min="15618" max="15618" width="29.28515625" customWidth="1"/>
    <col min="15619" max="15619" width="7.28515625" customWidth="1"/>
    <col min="15620" max="15620" width="6.85546875" customWidth="1"/>
    <col min="15621" max="15621" width="7.140625" customWidth="1"/>
    <col min="15622" max="15622" width="6.85546875" customWidth="1"/>
    <col min="15623" max="15623" width="7" customWidth="1"/>
    <col min="15624" max="15624" width="7.5703125" customWidth="1"/>
    <col min="15625" max="15625" width="6.7109375" customWidth="1"/>
    <col min="15626" max="15626" width="8.140625" customWidth="1"/>
    <col min="15627" max="15627" width="6.7109375" customWidth="1"/>
    <col min="15628" max="15628" width="6.85546875" customWidth="1"/>
    <col min="15629" max="15629" width="6.140625" customWidth="1"/>
    <col min="15630" max="15630" width="5.140625" customWidth="1"/>
    <col min="15631" max="15631" width="6.28515625" customWidth="1"/>
    <col min="15632" max="15632" width="6.140625" customWidth="1"/>
    <col min="15633" max="15635" width="6.28515625" customWidth="1"/>
    <col min="15636" max="15636" width="6.7109375" customWidth="1"/>
    <col min="15872" max="15872" width="6.85546875" customWidth="1"/>
    <col min="15873" max="15873" width="8.42578125" customWidth="1"/>
    <col min="15874" max="15874" width="29.28515625" customWidth="1"/>
    <col min="15875" max="15875" width="7.28515625" customWidth="1"/>
    <col min="15876" max="15876" width="6.85546875" customWidth="1"/>
    <col min="15877" max="15877" width="7.140625" customWidth="1"/>
    <col min="15878" max="15878" width="6.85546875" customWidth="1"/>
    <col min="15879" max="15879" width="7" customWidth="1"/>
    <col min="15880" max="15880" width="7.5703125" customWidth="1"/>
    <col min="15881" max="15881" width="6.7109375" customWidth="1"/>
    <col min="15882" max="15882" width="8.140625" customWidth="1"/>
    <col min="15883" max="15883" width="6.7109375" customWidth="1"/>
    <col min="15884" max="15884" width="6.85546875" customWidth="1"/>
    <col min="15885" max="15885" width="6.140625" customWidth="1"/>
    <col min="15886" max="15886" width="5.140625" customWidth="1"/>
    <col min="15887" max="15887" width="6.28515625" customWidth="1"/>
    <col min="15888" max="15888" width="6.140625" customWidth="1"/>
    <col min="15889" max="15891" width="6.28515625" customWidth="1"/>
    <col min="15892" max="15892" width="6.7109375" customWidth="1"/>
    <col min="16128" max="16128" width="6.85546875" customWidth="1"/>
    <col min="16129" max="16129" width="8.42578125" customWidth="1"/>
    <col min="16130" max="16130" width="29.28515625" customWidth="1"/>
    <col min="16131" max="16131" width="7.28515625" customWidth="1"/>
    <col min="16132" max="16132" width="6.85546875" customWidth="1"/>
    <col min="16133" max="16133" width="7.140625" customWidth="1"/>
    <col min="16134" max="16134" width="6.85546875" customWidth="1"/>
    <col min="16135" max="16135" width="7" customWidth="1"/>
    <col min="16136" max="16136" width="7.5703125" customWidth="1"/>
    <col min="16137" max="16137" width="6.7109375" customWidth="1"/>
    <col min="16138" max="16138" width="8.140625" customWidth="1"/>
    <col min="16139" max="16139" width="6.7109375" customWidth="1"/>
    <col min="16140" max="16140" width="6.85546875" customWidth="1"/>
    <col min="16141" max="16141" width="6.140625" customWidth="1"/>
    <col min="16142" max="16142" width="5.140625" customWidth="1"/>
    <col min="16143" max="16143" width="6.28515625" customWidth="1"/>
    <col min="16144" max="16144" width="6.140625" customWidth="1"/>
    <col min="16145" max="16147" width="6.28515625" customWidth="1"/>
    <col min="16148" max="16148" width="6.7109375" customWidth="1"/>
  </cols>
  <sheetData>
    <row r="1" spans="1:20" ht="38.25" customHeight="1" x14ac:dyDescent="0.2">
      <c r="A1" s="341" t="s">
        <v>7</v>
      </c>
      <c r="B1" s="336" t="s">
        <v>8</v>
      </c>
      <c r="C1" s="336" t="s">
        <v>9</v>
      </c>
      <c r="D1" s="336" t="s">
        <v>10</v>
      </c>
      <c r="E1" s="336" t="s">
        <v>11</v>
      </c>
      <c r="F1" s="336" t="s">
        <v>12</v>
      </c>
      <c r="G1" s="332" t="s">
        <v>13</v>
      </c>
      <c r="H1" s="332" t="s">
        <v>14</v>
      </c>
      <c r="I1" s="334" t="s">
        <v>26</v>
      </c>
      <c r="J1" s="334"/>
      <c r="K1" s="334"/>
      <c r="L1" s="334"/>
      <c r="M1" s="334"/>
      <c r="N1" s="335" t="s">
        <v>27</v>
      </c>
      <c r="O1" s="335"/>
      <c r="P1" s="335"/>
      <c r="Q1" s="335"/>
      <c r="R1" s="335"/>
      <c r="S1" s="335"/>
      <c r="T1" s="335"/>
    </row>
    <row r="2" spans="1:20" ht="26.25" thickBot="1" x14ac:dyDescent="0.25">
      <c r="A2" s="342"/>
      <c r="B2" s="337"/>
      <c r="C2" s="337"/>
      <c r="D2" s="337"/>
      <c r="E2" s="337"/>
      <c r="F2" s="337"/>
      <c r="G2" s="333"/>
      <c r="H2" s="333"/>
      <c r="I2" s="260" t="s">
        <v>28</v>
      </c>
      <c r="J2" s="260" t="s">
        <v>15</v>
      </c>
      <c r="K2" s="260" t="s">
        <v>16</v>
      </c>
      <c r="L2" s="260" t="s">
        <v>17</v>
      </c>
      <c r="M2" s="260" t="s">
        <v>18</v>
      </c>
      <c r="N2" s="260" t="s">
        <v>19</v>
      </c>
      <c r="O2" s="260" t="s">
        <v>20</v>
      </c>
      <c r="P2" s="260" t="s">
        <v>21</v>
      </c>
      <c r="Q2" s="260" t="s">
        <v>22</v>
      </c>
      <c r="R2" s="261" t="s">
        <v>23</v>
      </c>
      <c r="S2" s="262" t="s">
        <v>150</v>
      </c>
      <c r="T2" s="261" t="s">
        <v>83</v>
      </c>
    </row>
    <row r="3" spans="1:20" x14ac:dyDescent="0.2">
      <c r="A3" s="218"/>
      <c r="B3" s="263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0" ht="25.5" x14ac:dyDescent="0.2">
      <c r="A4" s="286" t="s">
        <v>203</v>
      </c>
      <c r="B4" s="292" t="s">
        <v>204</v>
      </c>
      <c r="C4" s="42"/>
      <c r="D4" s="42">
        <v>210</v>
      </c>
      <c r="E4" s="293"/>
      <c r="F4" s="293"/>
      <c r="G4" s="293"/>
      <c r="H4" s="293"/>
      <c r="I4" s="293"/>
      <c r="J4" s="293"/>
      <c r="K4" s="293"/>
      <c r="L4" s="294"/>
      <c r="M4" s="293"/>
      <c r="N4" s="293"/>
      <c r="O4" s="293"/>
      <c r="P4" s="293"/>
      <c r="Q4" s="293"/>
      <c r="R4" s="293"/>
      <c r="S4" s="293"/>
      <c r="T4" s="293"/>
    </row>
    <row r="5" spans="1:20" x14ac:dyDescent="0.2">
      <c r="A5" s="286"/>
      <c r="B5" s="295" t="s">
        <v>49</v>
      </c>
      <c r="C5" s="296">
        <v>31</v>
      </c>
      <c r="D5" s="296">
        <v>31</v>
      </c>
      <c r="E5" s="296">
        <v>2.2999999999999998</v>
      </c>
      <c r="F5" s="296">
        <v>0.37</v>
      </c>
      <c r="G5" s="296">
        <v>16.399999999999999</v>
      </c>
      <c r="H5" s="296">
        <v>122.1</v>
      </c>
      <c r="I5" s="296">
        <v>20</v>
      </c>
      <c r="J5" s="296">
        <v>8.9</v>
      </c>
      <c r="K5" s="296">
        <v>7.8</v>
      </c>
      <c r="L5" s="297">
        <v>35.9</v>
      </c>
      <c r="M5" s="296">
        <v>0.7</v>
      </c>
      <c r="N5" s="296">
        <v>0</v>
      </c>
      <c r="O5" s="296">
        <v>0.03</v>
      </c>
      <c r="P5" s="296">
        <v>0</v>
      </c>
      <c r="Q5" s="296">
        <v>0.59</v>
      </c>
      <c r="R5" s="296">
        <v>0</v>
      </c>
      <c r="S5" s="296"/>
      <c r="T5" s="296"/>
    </row>
    <row r="6" spans="1:20" x14ac:dyDescent="0.2">
      <c r="A6" s="286"/>
      <c r="B6" s="295" t="s">
        <v>29</v>
      </c>
      <c r="C6" s="296">
        <v>100</v>
      </c>
      <c r="D6" s="296">
        <v>100</v>
      </c>
      <c r="E6" s="296">
        <v>3.3</v>
      </c>
      <c r="F6" s="296">
        <v>3.8</v>
      </c>
      <c r="G6" s="296">
        <v>5.6</v>
      </c>
      <c r="H6" s="296">
        <v>69</v>
      </c>
      <c r="I6" s="296">
        <v>173.7</v>
      </c>
      <c r="J6" s="296">
        <v>142.80000000000001</v>
      </c>
      <c r="K6" s="296">
        <v>16.7</v>
      </c>
      <c r="L6" s="297">
        <v>107.1</v>
      </c>
      <c r="M6" s="296">
        <v>0.12</v>
      </c>
      <c r="N6" s="296">
        <v>0.02</v>
      </c>
      <c r="O6" s="296">
        <v>0.05</v>
      </c>
      <c r="P6" s="296">
        <v>0.18</v>
      </c>
      <c r="Q6" s="296">
        <v>0.12</v>
      </c>
      <c r="R6" s="296">
        <v>1.55</v>
      </c>
      <c r="S6" s="296"/>
      <c r="T6" s="296"/>
    </row>
    <row r="7" spans="1:20" x14ac:dyDescent="0.2">
      <c r="A7" s="286"/>
      <c r="B7" s="295" t="s">
        <v>35</v>
      </c>
      <c r="C7" s="296">
        <v>75</v>
      </c>
      <c r="D7" s="296">
        <v>75</v>
      </c>
      <c r="E7" s="296">
        <v>0</v>
      </c>
      <c r="F7" s="296">
        <v>0</v>
      </c>
      <c r="G7" s="296">
        <v>0</v>
      </c>
      <c r="H7" s="296">
        <v>0</v>
      </c>
      <c r="I7" s="296">
        <v>0</v>
      </c>
      <c r="J7" s="296">
        <v>0</v>
      </c>
      <c r="K7" s="296">
        <v>0</v>
      </c>
      <c r="L7" s="297">
        <v>0</v>
      </c>
      <c r="M7" s="296">
        <v>0</v>
      </c>
      <c r="N7" s="296">
        <v>0</v>
      </c>
      <c r="O7" s="296">
        <v>0</v>
      </c>
      <c r="P7" s="296">
        <v>0</v>
      </c>
      <c r="Q7" s="296">
        <v>0</v>
      </c>
      <c r="R7" s="296">
        <v>0</v>
      </c>
      <c r="S7" s="296"/>
      <c r="T7" s="296"/>
    </row>
    <row r="8" spans="1:20" x14ac:dyDescent="0.2">
      <c r="A8" s="286"/>
      <c r="B8" s="295" t="s">
        <v>30</v>
      </c>
      <c r="C8" s="296">
        <v>16</v>
      </c>
      <c r="D8" s="296">
        <v>16</v>
      </c>
      <c r="E8" s="296">
        <v>0</v>
      </c>
      <c r="F8" s="296">
        <v>0</v>
      </c>
      <c r="G8" s="296">
        <v>19</v>
      </c>
      <c r="H8" s="296">
        <v>72</v>
      </c>
      <c r="I8" s="296">
        <v>0.56999999999999995</v>
      </c>
      <c r="J8" s="296">
        <v>0.38</v>
      </c>
      <c r="K8" s="296">
        <v>0</v>
      </c>
      <c r="L8" s="297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/>
      <c r="T8" s="296"/>
    </row>
    <row r="9" spans="1:20" x14ac:dyDescent="0.2">
      <c r="A9" s="286"/>
      <c r="B9" s="295" t="s">
        <v>46</v>
      </c>
      <c r="C9" s="296">
        <v>1.2</v>
      </c>
      <c r="D9" s="296">
        <v>1.2</v>
      </c>
      <c r="E9" s="296">
        <v>0</v>
      </c>
      <c r="F9" s="296">
        <v>0</v>
      </c>
      <c r="G9" s="296">
        <v>0</v>
      </c>
      <c r="H9" s="296">
        <v>0</v>
      </c>
      <c r="I9" s="296">
        <v>0</v>
      </c>
      <c r="J9" s="296">
        <v>0</v>
      </c>
      <c r="K9" s="296">
        <v>0</v>
      </c>
      <c r="L9" s="297">
        <v>0</v>
      </c>
      <c r="M9" s="296">
        <v>0</v>
      </c>
      <c r="N9" s="296">
        <v>0</v>
      </c>
      <c r="O9" s="296">
        <v>0</v>
      </c>
      <c r="P9" s="296">
        <v>0</v>
      </c>
      <c r="Q9" s="296">
        <v>0</v>
      </c>
      <c r="R9" s="296">
        <v>0</v>
      </c>
      <c r="S9" s="296"/>
      <c r="T9" s="296"/>
    </row>
    <row r="10" spans="1:20" ht="25.5" x14ac:dyDescent="0.2">
      <c r="A10" s="286"/>
      <c r="B10" s="295" t="s">
        <v>205</v>
      </c>
      <c r="C10" s="296">
        <v>10</v>
      </c>
      <c r="D10" s="296">
        <v>10</v>
      </c>
      <c r="E10" s="296">
        <v>0.08</v>
      </c>
      <c r="F10" s="296">
        <v>7.3</v>
      </c>
      <c r="G10" s="296">
        <v>0.1</v>
      </c>
      <c r="H10" s="296">
        <v>36</v>
      </c>
      <c r="I10" s="296">
        <v>2.2999999999999998</v>
      </c>
      <c r="J10" s="296">
        <v>0.3</v>
      </c>
      <c r="K10" s="296">
        <v>1.9</v>
      </c>
      <c r="L10" s="296">
        <v>0.02</v>
      </c>
      <c r="M10" s="296">
        <v>0.05</v>
      </c>
      <c r="N10" s="296">
        <v>0</v>
      </c>
      <c r="O10" s="296">
        <v>0.01</v>
      </c>
      <c r="P10" s="296">
        <v>0.01</v>
      </c>
      <c r="Q10" s="296">
        <v>0.01</v>
      </c>
      <c r="R10" s="296">
        <v>0</v>
      </c>
      <c r="S10" s="296"/>
      <c r="T10" s="296"/>
    </row>
    <row r="11" spans="1:20" x14ac:dyDescent="0.2">
      <c r="A11" s="286"/>
      <c r="B11" s="292" t="s">
        <v>77</v>
      </c>
      <c r="C11" s="42"/>
      <c r="D11" s="42"/>
      <c r="E11" s="42">
        <f>SUM(E5:E10)</f>
        <v>5.68</v>
      </c>
      <c r="F11" s="42">
        <f t="shared" ref="F11:Q11" si="0">SUM(F5:F10)</f>
        <v>11.469999999999999</v>
      </c>
      <c r="G11" s="42">
        <f t="shared" si="0"/>
        <v>41.1</v>
      </c>
      <c r="H11" s="42">
        <f t="shared" si="0"/>
        <v>299.10000000000002</v>
      </c>
      <c r="I11" s="42">
        <f t="shared" si="0"/>
        <v>196.57</v>
      </c>
      <c r="J11" s="42">
        <f t="shared" si="0"/>
        <v>152.38000000000002</v>
      </c>
      <c r="K11" s="42">
        <f t="shared" si="0"/>
        <v>26.4</v>
      </c>
      <c r="L11" s="42">
        <f t="shared" si="0"/>
        <v>143.02000000000001</v>
      </c>
      <c r="M11" s="42">
        <f t="shared" si="0"/>
        <v>0.87</v>
      </c>
      <c r="N11" s="42">
        <f t="shared" si="0"/>
        <v>0.02</v>
      </c>
      <c r="O11" s="42">
        <f t="shared" si="0"/>
        <v>0.09</v>
      </c>
      <c r="P11" s="42">
        <f t="shared" si="0"/>
        <v>0.19</v>
      </c>
      <c r="Q11" s="42">
        <f t="shared" si="0"/>
        <v>0.72</v>
      </c>
      <c r="R11" s="42">
        <f>SUM(R5:R10)</f>
        <v>1.55</v>
      </c>
      <c r="S11" s="42"/>
      <c r="T11" s="42"/>
    </row>
    <row r="12" spans="1:20" ht="26.25" customHeight="1" x14ac:dyDescent="0.2">
      <c r="A12" s="271" t="s">
        <v>73</v>
      </c>
      <c r="B12" s="274" t="s">
        <v>74</v>
      </c>
      <c r="C12" s="330" t="s">
        <v>75</v>
      </c>
      <c r="D12" s="331"/>
      <c r="E12" s="272">
        <v>0.1</v>
      </c>
      <c r="F12" s="272">
        <v>0</v>
      </c>
      <c r="G12" s="272">
        <v>15</v>
      </c>
      <c r="H12" s="272">
        <v>57.7</v>
      </c>
      <c r="I12" s="289">
        <v>12.9</v>
      </c>
      <c r="J12" s="272">
        <v>2.9</v>
      </c>
      <c r="K12" s="272">
        <v>2.2000000000000002</v>
      </c>
      <c r="L12" s="289">
        <v>4.12</v>
      </c>
      <c r="M12" s="272">
        <v>0.4</v>
      </c>
      <c r="N12" s="272">
        <v>0</v>
      </c>
      <c r="O12" s="272">
        <v>0</v>
      </c>
      <c r="P12" s="272">
        <v>0</v>
      </c>
      <c r="Q12" s="272">
        <v>0</v>
      </c>
      <c r="R12" s="272">
        <v>0</v>
      </c>
      <c r="S12" s="272"/>
      <c r="T12" s="272"/>
    </row>
    <row r="13" spans="1:20" ht="11.25" customHeight="1" x14ac:dyDescent="0.2">
      <c r="A13" s="271"/>
      <c r="B13" s="281" t="s">
        <v>40</v>
      </c>
      <c r="C13" s="282">
        <v>50</v>
      </c>
      <c r="D13" s="282">
        <v>50</v>
      </c>
      <c r="E13" s="273">
        <v>0.1</v>
      </c>
      <c r="F13" s="273">
        <v>0</v>
      </c>
      <c r="G13" s="273">
        <v>0</v>
      </c>
      <c r="H13" s="273">
        <v>0.8</v>
      </c>
      <c r="I13" s="284">
        <v>12.4</v>
      </c>
      <c r="J13" s="273">
        <v>2.5</v>
      </c>
      <c r="K13" s="273">
        <v>2.2000000000000002</v>
      </c>
      <c r="L13" s="284">
        <v>4.12</v>
      </c>
      <c r="M13" s="273">
        <v>0.4</v>
      </c>
      <c r="N13" s="273">
        <v>0</v>
      </c>
      <c r="O13" s="273">
        <v>0</v>
      </c>
      <c r="P13" s="273">
        <v>0</v>
      </c>
      <c r="Q13" s="273">
        <v>0</v>
      </c>
      <c r="R13" s="273">
        <v>0</v>
      </c>
      <c r="S13" s="273"/>
      <c r="T13" s="273"/>
    </row>
    <row r="14" spans="1:20" x14ac:dyDescent="0.2">
      <c r="A14" s="271"/>
      <c r="B14" s="281" t="s">
        <v>30</v>
      </c>
      <c r="C14" s="282">
        <v>15</v>
      </c>
      <c r="D14" s="282">
        <v>15</v>
      </c>
      <c r="E14" s="273">
        <v>0</v>
      </c>
      <c r="F14" s="273">
        <v>0</v>
      </c>
      <c r="G14" s="273">
        <v>15</v>
      </c>
      <c r="H14" s="273">
        <v>56.9</v>
      </c>
      <c r="I14" s="284">
        <v>0.5</v>
      </c>
      <c r="J14" s="273">
        <v>0.4</v>
      </c>
      <c r="K14" s="273">
        <v>0</v>
      </c>
      <c r="L14" s="284">
        <v>0</v>
      </c>
      <c r="M14" s="273">
        <v>0</v>
      </c>
      <c r="N14" s="273">
        <v>0</v>
      </c>
      <c r="O14" s="273">
        <v>0</v>
      </c>
      <c r="P14" s="273">
        <v>0</v>
      </c>
      <c r="Q14" s="273">
        <v>0</v>
      </c>
      <c r="R14" s="273">
        <v>0</v>
      </c>
      <c r="S14" s="273"/>
      <c r="T14" s="273"/>
    </row>
    <row r="15" spans="1:20" s="26" customFormat="1" x14ac:dyDescent="0.2">
      <c r="A15" s="279"/>
      <c r="B15" s="281" t="s">
        <v>35</v>
      </c>
      <c r="C15" s="282">
        <v>150</v>
      </c>
      <c r="D15" s="282">
        <v>150</v>
      </c>
      <c r="E15" s="273">
        <v>0</v>
      </c>
      <c r="F15" s="273">
        <v>0</v>
      </c>
      <c r="G15" s="273">
        <v>0</v>
      </c>
      <c r="H15" s="273">
        <v>0</v>
      </c>
      <c r="I15" s="273">
        <v>0</v>
      </c>
      <c r="J15" s="273">
        <v>0</v>
      </c>
      <c r="K15" s="273">
        <v>0</v>
      </c>
      <c r="L15" s="273">
        <v>0</v>
      </c>
      <c r="M15" s="273">
        <v>0</v>
      </c>
      <c r="N15" s="273">
        <v>0</v>
      </c>
      <c r="O15" s="273">
        <v>0</v>
      </c>
      <c r="P15" s="273">
        <v>0</v>
      </c>
      <c r="Q15" s="273">
        <v>0</v>
      </c>
      <c r="R15" s="273">
        <v>0</v>
      </c>
      <c r="S15" s="273"/>
      <c r="T15" s="273"/>
    </row>
    <row r="16" spans="1:20" ht="12.75" customHeight="1" x14ac:dyDescent="0.2">
      <c r="A16" s="271"/>
      <c r="B16" s="272" t="s">
        <v>164</v>
      </c>
      <c r="C16" s="273"/>
      <c r="D16" s="273"/>
      <c r="E16" s="272">
        <f t="shared" ref="E16:R16" si="1">E4+E12</f>
        <v>0.1</v>
      </c>
      <c r="F16" s="272">
        <f t="shared" si="1"/>
        <v>0</v>
      </c>
      <c r="G16" s="272">
        <f t="shared" si="1"/>
        <v>15</v>
      </c>
      <c r="H16" s="272">
        <f t="shared" si="1"/>
        <v>57.7</v>
      </c>
      <c r="I16" s="272">
        <f t="shared" si="1"/>
        <v>12.9</v>
      </c>
      <c r="J16" s="272">
        <f t="shared" si="1"/>
        <v>2.9</v>
      </c>
      <c r="K16" s="272">
        <f t="shared" si="1"/>
        <v>2.2000000000000002</v>
      </c>
      <c r="L16" s="272">
        <f t="shared" si="1"/>
        <v>4.12</v>
      </c>
      <c r="M16" s="272">
        <f t="shared" si="1"/>
        <v>0.4</v>
      </c>
      <c r="N16" s="272">
        <f t="shared" si="1"/>
        <v>0</v>
      </c>
      <c r="O16" s="272">
        <f t="shared" si="1"/>
        <v>0</v>
      </c>
      <c r="P16" s="272">
        <f t="shared" si="1"/>
        <v>0</v>
      </c>
      <c r="Q16" s="272">
        <f t="shared" si="1"/>
        <v>0</v>
      </c>
      <c r="R16" s="272">
        <f t="shared" si="1"/>
        <v>0</v>
      </c>
      <c r="S16" s="272"/>
      <c r="T16" s="272"/>
    </row>
    <row r="17" spans="1:20" x14ac:dyDescent="0.2">
      <c r="A17" s="271"/>
      <c r="B17" s="281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</row>
    <row r="18" spans="1:20" hidden="1" x14ac:dyDescent="0.2">
      <c r="A18" s="31"/>
      <c r="B18" s="31" t="s">
        <v>30</v>
      </c>
      <c r="C18" s="31">
        <v>15</v>
      </c>
      <c r="D18" s="31">
        <v>15</v>
      </c>
      <c r="E18" s="31">
        <v>0</v>
      </c>
      <c r="F18" s="31">
        <v>0</v>
      </c>
      <c r="G18" s="31">
        <v>15</v>
      </c>
      <c r="H18" s="31">
        <v>56.8</v>
      </c>
      <c r="I18" s="31">
        <v>0.5</v>
      </c>
      <c r="J18" s="31">
        <v>0.4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/>
      <c r="T18" s="31"/>
    </row>
    <row r="19" spans="1:20" hidden="1" x14ac:dyDescent="0.2">
      <c r="A19" s="31"/>
      <c r="B19" s="31" t="s">
        <v>179</v>
      </c>
      <c r="C19" s="31">
        <v>8</v>
      </c>
      <c r="D19" s="31">
        <v>7</v>
      </c>
      <c r="E19" s="31">
        <v>0</v>
      </c>
      <c r="F19" s="31">
        <v>0</v>
      </c>
      <c r="G19" s="31">
        <v>0.2</v>
      </c>
      <c r="H19" s="31">
        <v>2.4</v>
      </c>
      <c r="I19" s="31">
        <v>11.4</v>
      </c>
      <c r="J19" s="31">
        <v>2.8</v>
      </c>
      <c r="K19" s="31">
        <v>0.8</v>
      </c>
      <c r="L19" s="31">
        <v>1.5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2.8</v>
      </c>
      <c r="S19" s="31"/>
      <c r="T19" s="31"/>
    </row>
    <row r="20" spans="1:20" hidden="1" x14ac:dyDescent="0.2">
      <c r="A20" s="31"/>
      <c r="B20" s="31" t="s">
        <v>35</v>
      </c>
      <c r="C20" s="31">
        <v>150</v>
      </c>
      <c r="D20" s="31">
        <v>150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/>
      <c r="T20" s="31"/>
    </row>
    <row r="21" spans="1:20" s="26" customFormat="1" hidden="1" x14ac:dyDescent="0.2">
      <c r="A21" s="29"/>
      <c r="B21" s="29" t="s">
        <v>77</v>
      </c>
      <c r="C21" s="29"/>
      <c r="D21" s="29"/>
      <c r="E21" s="29">
        <f>SUM(E17:E20)</f>
        <v>0</v>
      </c>
      <c r="F21" s="29">
        <f t="shared" ref="F21:Q21" si="2">SUM(F17:F20)</f>
        <v>0</v>
      </c>
      <c r="G21" s="29">
        <f t="shared" si="2"/>
        <v>15.2</v>
      </c>
      <c r="H21" s="29">
        <f t="shared" si="2"/>
        <v>59.199999999999996</v>
      </c>
      <c r="I21" s="29">
        <f t="shared" si="2"/>
        <v>11.9</v>
      </c>
      <c r="J21" s="29">
        <f t="shared" si="2"/>
        <v>3.1999999999999997</v>
      </c>
      <c r="K21" s="29">
        <f t="shared" si="2"/>
        <v>0.8</v>
      </c>
      <c r="L21" s="29">
        <f t="shared" si="2"/>
        <v>1.5</v>
      </c>
      <c r="M21" s="29">
        <f t="shared" si="2"/>
        <v>0</v>
      </c>
      <c r="N21" s="29">
        <f t="shared" si="2"/>
        <v>0</v>
      </c>
      <c r="O21" s="29">
        <f t="shared" si="2"/>
        <v>0</v>
      </c>
      <c r="P21" s="29">
        <f t="shared" si="2"/>
        <v>0</v>
      </c>
      <c r="Q21" s="29">
        <f t="shared" si="2"/>
        <v>0</v>
      </c>
      <c r="R21" s="29">
        <f>SUM(R17:R20)</f>
        <v>2.8</v>
      </c>
      <c r="S21" s="29"/>
      <c r="T21" s="29"/>
    </row>
    <row r="22" spans="1:20" s="231" customFormat="1" hidden="1" x14ac:dyDescent="0.2">
      <c r="A22" s="271"/>
      <c r="B22" s="272" t="s">
        <v>164</v>
      </c>
      <c r="C22" s="273"/>
      <c r="D22" s="272"/>
      <c r="E22" s="272">
        <f>E21+E15</f>
        <v>0</v>
      </c>
      <c r="F22" s="272">
        <f t="shared" ref="F22:Q22" si="3">F21+F15</f>
        <v>0</v>
      </c>
      <c r="G22" s="272">
        <f t="shared" si="3"/>
        <v>15.2</v>
      </c>
      <c r="H22" s="272">
        <f t="shared" si="3"/>
        <v>59.199999999999996</v>
      </c>
      <c r="I22" s="272">
        <f t="shared" si="3"/>
        <v>11.9</v>
      </c>
      <c r="J22" s="272">
        <f t="shared" si="3"/>
        <v>3.1999999999999997</v>
      </c>
      <c r="K22" s="272">
        <f t="shared" si="3"/>
        <v>0.8</v>
      </c>
      <c r="L22" s="272">
        <f t="shared" si="3"/>
        <v>1.5</v>
      </c>
      <c r="M22" s="272">
        <f t="shared" si="3"/>
        <v>0</v>
      </c>
      <c r="N22" s="272">
        <f t="shared" si="3"/>
        <v>0</v>
      </c>
      <c r="O22" s="272">
        <f t="shared" si="3"/>
        <v>0</v>
      </c>
      <c r="P22" s="272">
        <f t="shared" si="3"/>
        <v>0</v>
      </c>
      <c r="Q22" s="272">
        <f t="shared" si="3"/>
        <v>0</v>
      </c>
      <c r="R22" s="272">
        <f>R21+R15</f>
        <v>2.8</v>
      </c>
      <c r="S22" s="272"/>
      <c r="T22" s="272"/>
    </row>
    <row r="23" spans="1:20" x14ac:dyDescent="0.2">
      <c r="A23" s="271"/>
      <c r="B23" s="274"/>
      <c r="C23" s="273"/>
      <c r="D23" s="272"/>
      <c r="E23" s="275"/>
      <c r="F23" s="275"/>
      <c r="G23" s="275"/>
      <c r="H23" s="275"/>
      <c r="I23" s="276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</row>
    <row r="24" spans="1:20" x14ac:dyDescent="0.2">
      <c r="A24" s="271"/>
      <c r="B24" s="277" t="s">
        <v>3</v>
      </c>
      <c r="C24" s="273"/>
      <c r="D24" s="272"/>
      <c r="E24" s="273"/>
      <c r="F24" s="273"/>
      <c r="G24" s="273"/>
      <c r="H24" s="273"/>
      <c r="I24" s="278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</row>
    <row r="25" spans="1:20" ht="12.75" customHeight="1" x14ac:dyDescent="0.2">
      <c r="A25" s="310" t="s">
        <v>233</v>
      </c>
      <c r="B25" s="280" t="s">
        <v>231</v>
      </c>
      <c r="C25" s="273"/>
      <c r="D25" s="272">
        <v>55</v>
      </c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</row>
    <row r="26" spans="1:20" x14ac:dyDescent="0.2">
      <c r="A26" s="271"/>
      <c r="B26" s="281" t="s">
        <v>232</v>
      </c>
      <c r="C26" s="282">
        <v>20.2</v>
      </c>
      <c r="D26" s="283">
        <v>20</v>
      </c>
      <c r="E26" s="273">
        <v>6.9</v>
      </c>
      <c r="F26" s="273">
        <v>0.7</v>
      </c>
      <c r="G26" s="273">
        <v>46.5</v>
      </c>
      <c r="H26" s="273">
        <v>225.1</v>
      </c>
      <c r="I26" s="278">
        <v>118.6</v>
      </c>
      <c r="J26" s="273">
        <v>16.2</v>
      </c>
      <c r="K26" s="273">
        <v>29.7</v>
      </c>
      <c r="L26" s="284">
        <v>77.5</v>
      </c>
      <c r="M26" s="273">
        <v>1.4</v>
      </c>
      <c r="N26" s="273">
        <v>0</v>
      </c>
      <c r="O26" s="273">
        <v>0.1</v>
      </c>
      <c r="P26" s="273">
        <v>0</v>
      </c>
      <c r="Q26" s="273">
        <v>0.8</v>
      </c>
      <c r="R26" s="273">
        <v>0</v>
      </c>
      <c r="S26" s="273"/>
      <c r="T26" s="273"/>
    </row>
    <row r="27" spans="1:20" x14ac:dyDescent="0.2">
      <c r="A27" s="271"/>
      <c r="B27" s="281" t="s">
        <v>81</v>
      </c>
      <c r="C27" s="282">
        <v>30</v>
      </c>
      <c r="D27" s="283">
        <v>30</v>
      </c>
      <c r="E27" s="273">
        <v>0</v>
      </c>
      <c r="F27" s="273">
        <v>0</v>
      </c>
      <c r="G27" s="273">
        <v>14.1</v>
      </c>
      <c r="H27" s="273">
        <v>55.8</v>
      </c>
      <c r="I27" s="278">
        <v>0.42</v>
      </c>
      <c r="J27" s="273">
        <v>0.4</v>
      </c>
      <c r="K27" s="273">
        <v>0</v>
      </c>
      <c r="L27" s="284">
        <v>0</v>
      </c>
      <c r="M27" s="273">
        <v>0</v>
      </c>
      <c r="N27" s="273">
        <v>0</v>
      </c>
      <c r="O27" s="273">
        <v>0</v>
      </c>
      <c r="P27" s="273">
        <v>0</v>
      </c>
      <c r="Q27" s="273">
        <v>0</v>
      </c>
      <c r="R27" s="273">
        <v>0</v>
      </c>
      <c r="S27" s="273"/>
      <c r="T27" s="273"/>
    </row>
    <row r="28" spans="1:20" hidden="1" x14ac:dyDescent="0.2">
      <c r="A28" s="271"/>
      <c r="B28" s="281" t="s">
        <v>171</v>
      </c>
      <c r="C28" s="282">
        <v>15</v>
      </c>
      <c r="D28" s="283">
        <v>15</v>
      </c>
      <c r="E28" s="273">
        <v>0.1</v>
      </c>
      <c r="F28" s="273">
        <v>10.7</v>
      </c>
      <c r="G28" s="273">
        <v>0.19</v>
      </c>
      <c r="H28" s="273">
        <v>97.8</v>
      </c>
      <c r="I28" s="278">
        <v>3.4</v>
      </c>
      <c r="J28" s="273">
        <v>3.3</v>
      </c>
      <c r="K28" s="273">
        <v>0.44</v>
      </c>
      <c r="L28" s="284">
        <v>2.8</v>
      </c>
      <c r="M28" s="273">
        <v>0</v>
      </c>
      <c r="N28" s="273">
        <v>0</v>
      </c>
      <c r="O28" s="273">
        <v>0</v>
      </c>
      <c r="P28" s="273">
        <v>0</v>
      </c>
      <c r="Q28" s="273">
        <v>0</v>
      </c>
      <c r="R28" s="273">
        <v>0</v>
      </c>
      <c r="S28" s="273"/>
      <c r="T28" s="273"/>
    </row>
    <row r="29" spans="1:20" hidden="1" x14ac:dyDescent="0.2">
      <c r="A29" s="271"/>
      <c r="B29" s="281" t="s">
        <v>182</v>
      </c>
      <c r="C29" s="282">
        <v>2</v>
      </c>
      <c r="D29" s="283">
        <v>2</v>
      </c>
      <c r="E29" s="273">
        <v>0.24</v>
      </c>
      <c r="F29" s="273">
        <v>0.21</v>
      </c>
      <c r="G29" s="273">
        <v>0</v>
      </c>
      <c r="H29" s="273">
        <v>3</v>
      </c>
      <c r="I29" s="278">
        <v>2.7</v>
      </c>
      <c r="J29" s="273">
        <v>1</v>
      </c>
      <c r="K29" s="273">
        <v>0.23</v>
      </c>
      <c r="L29" s="285">
        <v>3.6</v>
      </c>
      <c r="M29" s="273">
        <v>0</v>
      </c>
      <c r="N29" s="273">
        <v>0</v>
      </c>
      <c r="O29" s="273">
        <v>0</v>
      </c>
      <c r="P29" s="273">
        <v>0</v>
      </c>
      <c r="Q29" s="273">
        <v>0</v>
      </c>
      <c r="R29" s="273">
        <v>0</v>
      </c>
      <c r="S29" s="273"/>
      <c r="T29" s="273"/>
    </row>
    <row r="30" spans="1:20" x14ac:dyDescent="0.2">
      <c r="A30" s="343" t="s">
        <v>175</v>
      </c>
      <c r="B30" s="29" t="s">
        <v>176</v>
      </c>
      <c r="C30" s="267" t="s">
        <v>177</v>
      </c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</row>
    <row r="31" spans="1:20" x14ac:dyDescent="0.2">
      <c r="A31" s="344"/>
      <c r="B31" s="31" t="s">
        <v>178</v>
      </c>
      <c r="C31" s="31">
        <v>50</v>
      </c>
      <c r="D31" s="31">
        <v>50</v>
      </c>
      <c r="E31" s="31">
        <v>0.1</v>
      </c>
      <c r="F31" s="31">
        <v>0</v>
      </c>
      <c r="G31" s="31">
        <v>0</v>
      </c>
      <c r="H31" s="31">
        <v>0.8</v>
      </c>
      <c r="I31" s="31">
        <v>12.4</v>
      </c>
      <c r="J31" s="31">
        <v>2.5</v>
      </c>
      <c r="K31" s="31">
        <v>2.2000000000000002</v>
      </c>
      <c r="L31" s="31">
        <v>4.0999999999999996</v>
      </c>
      <c r="M31" s="31">
        <v>0.4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/>
      <c r="T31" s="31"/>
    </row>
    <row r="32" spans="1:20" x14ac:dyDescent="0.2">
      <c r="A32" s="31"/>
      <c r="B32" s="31" t="s">
        <v>30</v>
      </c>
      <c r="C32" s="31">
        <v>15</v>
      </c>
      <c r="D32" s="31">
        <v>15</v>
      </c>
      <c r="E32" s="31">
        <v>0</v>
      </c>
      <c r="F32" s="31">
        <v>0</v>
      </c>
      <c r="G32" s="31">
        <v>15</v>
      </c>
      <c r="H32" s="31">
        <v>56.8</v>
      </c>
      <c r="I32" s="31">
        <v>0.5</v>
      </c>
      <c r="J32" s="31">
        <v>0.4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/>
      <c r="T32" s="31"/>
    </row>
    <row r="33" spans="1:20" s="26" customFormat="1" x14ac:dyDescent="0.2">
      <c r="A33" s="31"/>
      <c r="B33" s="31" t="s">
        <v>179</v>
      </c>
      <c r="C33" s="31">
        <v>8</v>
      </c>
      <c r="D33" s="31">
        <v>7</v>
      </c>
      <c r="E33" s="31">
        <v>0</v>
      </c>
      <c r="F33" s="31">
        <v>0</v>
      </c>
      <c r="G33" s="31">
        <v>0.2</v>
      </c>
      <c r="H33" s="31">
        <v>2.4</v>
      </c>
      <c r="I33" s="31">
        <v>11.4</v>
      </c>
      <c r="J33" s="31">
        <v>2.8</v>
      </c>
      <c r="K33" s="31">
        <v>0.8</v>
      </c>
      <c r="L33" s="31">
        <v>1.5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2.8</v>
      </c>
      <c r="S33" s="31"/>
      <c r="T33" s="31"/>
    </row>
    <row r="34" spans="1:20" x14ac:dyDescent="0.2">
      <c r="A34" s="31"/>
      <c r="B34" s="31" t="s">
        <v>35</v>
      </c>
      <c r="C34" s="31">
        <v>150</v>
      </c>
      <c r="D34" s="31">
        <v>150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/>
      <c r="T34" s="31"/>
    </row>
    <row r="35" spans="1:20" s="231" customFormat="1" x14ac:dyDescent="0.2">
      <c r="A35" s="29"/>
      <c r="B35" s="29" t="s">
        <v>77</v>
      </c>
      <c r="C35" s="29"/>
      <c r="D35" s="29"/>
      <c r="E35" s="29">
        <f>SUM(E31:E34)</f>
        <v>0.1</v>
      </c>
      <c r="F35" s="29">
        <f t="shared" ref="F35:Q35" si="4">SUM(F31:F34)</f>
        <v>0</v>
      </c>
      <c r="G35" s="29">
        <f t="shared" si="4"/>
        <v>15.2</v>
      </c>
      <c r="H35" s="29">
        <f t="shared" si="4"/>
        <v>59.999999999999993</v>
      </c>
      <c r="I35" s="29">
        <f t="shared" si="4"/>
        <v>24.3</v>
      </c>
      <c r="J35" s="29">
        <f t="shared" si="4"/>
        <v>5.6999999999999993</v>
      </c>
      <c r="K35" s="29">
        <f t="shared" si="4"/>
        <v>3</v>
      </c>
      <c r="L35" s="29">
        <f t="shared" si="4"/>
        <v>5.6</v>
      </c>
      <c r="M35" s="29">
        <f t="shared" si="4"/>
        <v>0.4</v>
      </c>
      <c r="N35" s="29">
        <f t="shared" si="4"/>
        <v>0</v>
      </c>
      <c r="O35" s="29">
        <f t="shared" si="4"/>
        <v>0</v>
      </c>
      <c r="P35" s="29">
        <f t="shared" si="4"/>
        <v>0</v>
      </c>
      <c r="Q35" s="29">
        <f t="shared" si="4"/>
        <v>0</v>
      </c>
      <c r="R35" s="29">
        <f>SUM(R31:R34)</f>
        <v>2.8</v>
      </c>
      <c r="S35" s="29"/>
      <c r="T35" s="29"/>
    </row>
    <row r="36" spans="1:20" x14ac:dyDescent="0.2">
      <c r="A36" s="271"/>
      <c r="B36" s="272" t="s">
        <v>164</v>
      </c>
      <c r="C36" s="273"/>
      <c r="D36" s="272"/>
      <c r="E36" s="272">
        <f>E35+E29</f>
        <v>0.33999999999999997</v>
      </c>
      <c r="F36" s="272">
        <f t="shared" ref="F36:Q36" si="5">F35+F29</f>
        <v>0.21</v>
      </c>
      <c r="G36" s="272">
        <f t="shared" si="5"/>
        <v>15.2</v>
      </c>
      <c r="H36" s="272">
        <f t="shared" si="5"/>
        <v>62.999999999999993</v>
      </c>
      <c r="I36" s="272">
        <f t="shared" si="5"/>
        <v>27</v>
      </c>
      <c r="J36" s="272">
        <f t="shared" si="5"/>
        <v>6.6999999999999993</v>
      </c>
      <c r="K36" s="272">
        <f t="shared" si="5"/>
        <v>3.23</v>
      </c>
      <c r="L36" s="272">
        <f t="shared" si="5"/>
        <v>9.1999999999999993</v>
      </c>
      <c r="M36" s="272">
        <f t="shared" si="5"/>
        <v>0.4</v>
      </c>
      <c r="N36" s="272">
        <f t="shared" si="5"/>
        <v>0</v>
      </c>
      <c r="O36" s="272">
        <f t="shared" si="5"/>
        <v>0</v>
      </c>
      <c r="P36" s="272">
        <f t="shared" si="5"/>
        <v>0</v>
      </c>
      <c r="Q36" s="272">
        <f t="shared" si="5"/>
        <v>0</v>
      </c>
      <c r="R36" s="272">
        <f>R35+R29</f>
        <v>2.8</v>
      </c>
      <c r="S36" s="272"/>
      <c r="T36" s="272"/>
    </row>
    <row r="37" spans="1:20" x14ac:dyDescent="0.2">
      <c r="A37" s="271"/>
      <c r="B37" s="277" t="s">
        <v>50</v>
      </c>
      <c r="C37" s="273"/>
      <c r="D37" s="273"/>
      <c r="E37" s="273"/>
      <c r="F37" s="273"/>
      <c r="G37" s="284"/>
      <c r="H37" s="284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</row>
    <row r="38" spans="1:20" ht="25.5" x14ac:dyDescent="0.2">
      <c r="A38" s="271" t="s">
        <v>186</v>
      </c>
      <c r="B38" s="274" t="s">
        <v>187</v>
      </c>
      <c r="C38" s="273"/>
      <c r="D38" s="272">
        <v>75</v>
      </c>
      <c r="E38" s="272">
        <v>9.1999999999999993</v>
      </c>
      <c r="F38" s="272">
        <v>5</v>
      </c>
      <c r="G38" s="272">
        <v>31.74</v>
      </c>
      <c r="H38" s="272">
        <v>212.3</v>
      </c>
      <c r="I38" s="289">
        <v>108.3</v>
      </c>
      <c r="J38" s="272">
        <v>57.35</v>
      </c>
      <c r="K38" s="272">
        <v>24.46</v>
      </c>
      <c r="L38" s="272">
        <v>115.28</v>
      </c>
      <c r="M38" s="272">
        <v>0.94</v>
      </c>
      <c r="N38" s="272">
        <v>0</v>
      </c>
      <c r="O38" s="272">
        <v>0</v>
      </c>
      <c r="P38" s="272">
        <v>0</v>
      </c>
      <c r="Q38" s="272">
        <v>0.57999999999999996</v>
      </c>
      <c r="R38" s="272">
        <v>0.14000000000000001</v>
      </c>
      <c r="S38" s="272"/>
      <c r="T38" s="272"/>
    </row>
    <row r="39" spans="1:20" x14ac:dyDescent="0.2">
      <c r="A39" s="271" t="s">
        <v>167</v>
      </c>
      <c r="B39" s="290" t="s">
        <v>168</v>
      </c>
      <c r="C39" s="273"/>
      <c r="D39" s="273">
        <v>58</v>
      </c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</row>
    <row r="40" spans="1:20" x14ac:dyDescent="0.2">
      <c r="A40" s="271"/>
      <c r="B40" s="281" t="s">
        <v>38</v>
      </c>
      <c r="C40" s="273">
        <v>39</v>
      </c>
      <c r="D40" s="273">
        <v>39</v>
      </c>
      <c r="E40" s="273">
        <v>4.0999999999999996</v>
      </c>
      <c r="F40" s="273">
        <v>0.4</v>
      </c>
      <c r="G40" s="273">
        <v>27.7</v>
      </c>
      <c r="H40" s="273">
        <v>134</v>
      </c>
      <c r="I40" s="273">
        <v>70.599999999999994</v>
      </c>
      <c r="J40" s="273">
        <v>9.6</v>
      </c>
      <c r="K40" s="273">
        <v>17.600000000000001</v>
      </c>
      <c r="L40" s="273">
        <v>46.1</v>
      </c>
      <c r="M40" s="273">
        <v>0.84</v>
      </c>
      <c r="N40" s="273">
        <v>0</v>
      </c>
      <c r="O40" s="273">
        <v>0</v>
      </c>
      <c r="P40" s="273">
        <v>0</v>
      </c>
      <c r="Q40" s="273">
        <v>0.48</v>
      </c>
      <c r="R40" s="273">
        <v>0</v>
      </c>
      <c r="S40" s="273"/>
      <c r="T40" s="273"/>
    </row>
    <row r="41" spans="1:20" x14ac:dyDescent="0.2">
      <c r="A41" s="271"/>
      <c r="B41" s="281" t="s">
        <v>30</v>
      </c>
      <c r="C41" s="273">
        <v>2</v>
      </c>
      <c r="D41" s="273">
        <v>2</v>
      </c>
      <c r="E41" s="273">
        <v>0</v>
      </c>
      <c r="F41" s="273">
        <v>0</v>
      </c>
      <c r="G41" s="273">
        <v>2</v>
      </c>
      <c r="H41" s="273">
        <v>10.3</v>
      </c>
      <c r="I41" s="273">
        <v>0.1</v>
      </c>
      <c r="J41" s="273">
        <v>0.1</v>
      </c>
      <c r="K41" s="273">
        <v>0</v>
      </c>
      <c r="L41" s="273">
        <v>0</v>
      </c>
      <c r="M41" s="273">
        <v>0</v>
      </c>
      <c r="N41" s="273">
        <v>0</v>
      </c>
      <c r="O41" s="273">
        <v>0</v>
      </c>
      <c r="P41" s="273">
        <v>0</v>
      </c>
      <c r="Q41" s="273">
        <v>0</v>
      </c>
      <c r="R41" s="273">
        <v>0</v>
      </c>
      <c r="S41" s="273"/>
      <c r="T41" s="273"/>
    </row>
    <row r="42" spans="1:20" x14ac:dyDescent="0.2">
      <c r="A42" s="271"/>
      <c r="B42" s="281" t="s">
        <v>171</v>
      </c>
      <c r="C42" s="273">
        <v>2</v>
      </c>
      <c r="D42" s="273">
        <v>2</v>
      </c>
      <c r="E42" s="273">
        <v>0</v>
      </c>
      <c r="F42" s="273">
        <v>1.45</v>
      </c>
      <c r="G42" s="273">
        <v>0</v>
      </c>
      <c r="H42" s="273">
        <v>13.2</v>
      </c>
      <c r="I42" s="273">
        <v>0.46</v>
      </c>
      <c r="J42" s="273">
        <v>0.45</v>
      </c>
      <c r="K42" s="273">
        <v>0</v>
      </c>
      <c r="L42" s="273">
        <v>0.38</v>
      </c>
      <c r="M42" s="273">
        <v>0</v>
      </c>
      <c r="N42" s="273">
        <v>0</v>
      </c>
      <c r="O42" s="273">
        <v>0</v>
      </c>
      <c r="P42" s="273">
        <v>0</v>
      </c>
      <c r="Q42" s="273">
        <v>0</v>
      </c>
      <c r="R42" s="273">
        <v>0</v>
      </c>
      <c r="S42" s="273"/>
      <c r="T42" s="273"/>
    </row>
    <row r="43" spans="1:20" x14ac:dyDescent="0.2">
      <c r="A43" s="271"/>
      <c r="B43" s="281" t="s">
        <v>182</v>
      </c>
      <c r="C43" s="273">
        <v>3.5</v>
      </c>
      <c r="D43" s="273">
        <v>3.5</v>
      </c>
      <c r="E43" s="273">
        <v>0.5</v>
      </c>
      <c r="F43" s="273">
        <v>0.4</v>
      </c>
      <c r="G43" s="273">
        <v>0</v>
      </c>
      <c r="H43" s="273">
        <v>6.4</v>
      </c>
      <c r="I43" s="273">
        <v>5.5</v>
      </c>
      <c r="J43" s="273">
        <v>2.2999999999999998</v>
      </c>
      <c r="K43" s="273">
        <v>0.46</v>
      </c>
      <c r="L43" s="273">
        <v>7.5</v>
      </c>
      <c r="M43" s="273">
        <v>0.1</v>
      </c>
      <c r="N43" s="273">
        <v>0</v>
      </c>
      <c r="O43" s="273">
        <v>0</v>
      </c>
      <c r="P43" s="273">
        <v>0</v>
      </c>
      <c r="Q43" s="273">
        <v>0</v>
      </c>
      <c r="R43" s="273">
        <v>0</v>
      </c>
      <c r="S43" s="273"/>
      <c r="T43" s="273"/>
    </row>
    <row r="44" spans="1:20" ht="18.75" customHeight="1" x14ac:dyDescent="0.2">
      <c r="A44" s="271"/>
      <c r="B44" s="281" t="s">
        <v>46</v>
      </c>
      <c r="C44" s="273">
        <v>0.6</v>
      </c>
      <c r="D44" s="273">
        <v>0.6</v>
      </c>
      <c r="E44" s="273">
        <v>0</v>
      </c>
      <c r="F44" s="273">
        <v>0</v>
      </c>
      <c r="G44" s="273">
        <v>0</v>
      </c>
      <c r="H44" s="273">
        <v>0</v>
      </c>
      <c r="I44" s="273">
        <v>0</v>
      </c>
      <c r="J44" s="273">
        <v>0</v>
      </c>
      <c r="K44" s="273">
        <v>0</v>
      </c>
      <c r="L44" s="273">
        <v>0</v>
      </c>
      <c r="M44" s="273">
        <v>0</v>
      </c>
      <c r="N44" s="273">
        <v>0</v>
      </c>
      <c r="O44" s="273">
        <v>0</v>
      </c>
      <c r="P44" s="273">
        <v>0</v>
      </c>
      <c r="Q44" s="273">
        <v>0</v>
      </c>
      <c r="R44" s="273">
        <v>0</v>
      </c>
      <c r="S44" s="273"/>
      <c r="T44" s="273"/>
    </row>
    <row r="45" spans="1:20" x14ac:dyDescent="0.2">
      <c r="A45" s="271"/>
      <c r="B45" s="281" t="s">
        <v>172</v>
      </c>
      <c r="C45" s="273">
        <v>0.3</v>
      </c>
      <c r="D45" s="273">
        <v>0.3</v>
      </c>
      <c r="E45" s="273">
        <v>0</v>
      </c>
      <c r="F45" s="273">
        <v>0</v>
      </c>
      <c r="G45" s="273">
        <v>0</v>
      </c>
      <c r="H45" s="273">
        <v>0</v>
      </c>
      <c r="I45" s="273">
        <v>0</v>
      </c>
      <c r="J45" s="273">
        <v>0</v>
      </c>
      <c r="K45" s="273">
        <v>0</v>
      </c>
      <c r="L45" s="273">
        <v>0</v>
      </c>
      <c r="M45" s="273">
        <v>0</v>
      </c>
      <c r="N45" s="273">
        <v>0</v>
      </c>
      <c r="O45" s="273">
        <v>0</v>
      </c>
      <c r="P45" s="273">
        <v>0</v>
      </c>
      <c r="Q45" s="273">
        <v>0</v>
      </c>
      <c r="R45" s="273">
        <v>0</v>
      </c>
      <c r="S45" s="273"/>
      <c r="T45" s="273"/>
    </row>
    <row r="46" spans="1:20" ht="25.5" x14ac:dyDescent="0.2">
      <c r="A46" s="271"/>
      <c r="B46" s="281" t="s">
        <v>188</v>
      </c>
      <c r="C46" s="273">
        <v>1.5</v>
      </c>
      <c r="D46" s="273">
        <v>1.5</v>
      </c>
      <c r="E46" s="273">
        <v>0.2</v>
      </c>
      <c r="F46" s="273">
        <v>0.1</v>
      </c>
      <c r="G46" s="273">
        <v>0</v>
      </c>
      <c r="H46" s="273">
        <v>3.5</v>
      </c>
      <c r="I46" s="273">
        <v>2.8</v>
      </c>
      <c r="J46" s="273">
        <v>0.7</v>
      </c>
      <c r="K46" s="273">
        <v>0.21</v>
      </c>
      <c r="L46" s="273">
        <v>3.8</v>
      </c>
      <c r="M46" s="273">
        <v>0</v>
      </c>
      <c r="N46" s="273">
        <v>0</v>
      </c>
      <c r="O46" s="273">
        <v>0</v>
      </c>
      <c r="P46" s="273">
        <v>0</v>
      </c>
      <c r="Q46" s="273">
        <v>0</v>
      </c>
      <c r="R46" s="273">
        <v>0</v>
      </c>
      <c r="S46" s="273"/>
      <c r="T46" s="273"/>
    </row>
    <row r="47" spans="1:20" x14ac:dyDescent="0.2">
      <c r="A47" s="271"/>
      <c r="B47" s="281" t="s">
        <v>35</v>
      </c>
      <c r="C47" s="273">
        <v>15</v>
      </c>
      <c r="D47" s="273">
        <v>15</v>
      </c>
      <c r="E47" s="273">
        <v>0</v>
      </c>
      <c r="F47" s="273">
        <v>0</v>
      </c>
      <c r="G47" s="273">
        <v>0</v>
      </c>
      <c r="H47" s="273">
        <v>0</v>
      </c>
      <c r="I47" s="273">
        <v>0</v>
      </c>
      <c r="J47" s="273">
        <v>0</v>
      </c>
      <c r="K47" s="273">
        <v>0</v>
      </c>
      <c r="L47" s="273">
        <v>0</v>
      </c>
      <c r="M47" s="273">
        <v>0</v>
      </c>
      <c r="N47" s="273">
        <v>0</v>
      </c>
      <c r="O47" s="273">
        <v>0</v>
      </c>
      <c r="P47" s="273">
        <v>0</v>
      </c>
      <c r="Q47" s="273">
        <v>0</v>
      </c>
      <c r="R47" s="273">
        <v>0</v>
      </c>
      <c r="S47" s="273"/>
      <c r="T47" s="273"/>
    </row>
    <row r="48" spans="1:20" x14ac:dyDescent="0.2">
      <c r="A48" s="279" t="s">
        <v>189</v>
      </c>
      <c r="B48" s="290" t="s">
        <v>190</v>
      </c>
      <c r="C48" s="273"/>
      <c r="D48" s="273">
        <v>30</v>
      </c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</row>
    <row r="49" spans="1:20" x14ac:dyDescent="0.2">
      <c r="A49" s="279"/>
      <c r="B49" s="281" t="s">
        <v>191</v>
      </c>
      <c r="C49" s="273">
        <v>27.5</v>
      </c>
      <c r="D49" s="273">
        <v>27.2</v>
      </c>
      <c r="E49" s="273">
        <v>4.5</v>
      </c>
      <c r="F49" s="273">
        <v>2.4</v>
      </c>
      <c r="G49" s="273">
        <v>0.54</v>
      </c>
      <c r="H49" s="273">
        <v>42.2</v>
      </c>
      <c r="I49" s="273">
        <v>30.5</v>
      </c>
      <c r="J49" s="273">
        <v>44.6</v>
      </c>
      <c r="K49" s="273">
        <v>6.3</v>
      </c>
      <c r="L49" s="273">
        <v>59.8</v>
      </c>
      <c r="M49" s="273">
        <v>0</v>
      </c>
      <c r="N49" s="273">
        <v>0</v>
      </c>
      <c r="O49" s="273">
        <v>0</v>
      </c>
      <c r="P49" s="273">
        <v>0</v>
      </c>
      <c r="Q49" s="273">
        <v>0.1</v>
      </c>
      <c r="R49" s="273">
        <v>0.14000000000000001</v>
      </c>
      <c r="S49" s="273"/>
      <c r="T49" s="273"/>
    </row>
    <row r="50" spans="1:20" x14ac:dyDescent="0.2">
      <c r="A50" s="279"/>
      <c r="B50" s="281" t="s">
        <v>182</v>
      </c>
      <c r="C50" s="273">
        <v>1.2</v>
      </c>
      <c r="D50" s="273">
        <v>1.2</v>
      </c>
      <c r="E50" s="273">
        <v>0.1</v>
      </c>
      <c r="F50" s="273">
        <v>0.1</v>
      </c>
      <c r="G50" s="273">
        <v>0</v>
      </c>
      <c r="H50" s="273">
        <v>1</v>
      </c>
      <c r="I50" s="273">
        <v>1.1000000000000001</v>
      </c>
      <c r="J50" s="273">
        <v>0.3</v>
      </c>
      <c r="K50" s="273">
        <v>0.1</v>
      </c>
      <c r="L50" s="273">
        <v>1.5</v>
      </c>
      <c r="M50" s="273">
        <v>0</v>
      </c>
      <c r="N50" s="273">
        <v>0</v>
      </c>
      <c r="O50" s="273">
        <v>0</v>
      </c>
      <c r="P50" s="273">
        <v>0</v>
      </c>
      <c r="Q50" s="273">
        <v>0</v>
      </c>
      <c r="R50" s="273">
        <v>0</v>
      </c>
      <c r="S50" s="273"/>
      <c r="T50" s="273"/>
    </row>
    <row r="51" spans="1:20" x14ac:dyDescent="0.2">
      <c r="A51" s="279"/>
      <c r="B51" s="281" t="s">
        <v>30</v>
      </c>
      <c r="C51" s="273">
        <v>1.5</v>
      </c>
      <c r="D51" s="273">
        <v>1.5</v>
      </c>
      <c r="E51" s="273">
        <v>0</v>
      </c>
      <c r="F51" s="273">
        <v>0</v>
      </c>
      <c r="G51" s="273">
        <v>1.5</v>
      </c>
      <c r="H51" s="273">
        <v>3</v>
      </c>
      <c r="I51" s="273">
        <v>0</v>
      </c>
      <c r="J51" s="273">
        <v>0</v>
      </c>
      <c r="K51" s="273">
        <v>0</v>
      </c>
      <c r="L51" s="273">
        <v>0</v>
      </c>
      <c r="M51" s="273">
        <v>0</v>
      </c>
      <c r="N51" s="273">
        <v>0</v>
      </c>
      <c r="O51" s="273">
        <v>0</v>
      </c>
      <c r="P51" s="273">
        <v>0</v>
      </c>
      <c r="Q51" s="273">
        <v>0</v>
      </c>
      <c r="R51" s="273">
        <v>0</v>
      </c>
      <c r="S51" s="273"/>
      <c r="T51" s="273"/>
    </row>
    <row r="52" spans="1:20" x14ac:dyDescent="0.2">
      <c r="A52" s="279"/>
      <c r="B52" s="281" t="s">
        <v>38</v>
      </c>
      <c r="C52" s="273">
        <v>1.2</v>
      </c>
      <c r="D52" s="273">
        <v>1.2</v>
      </c>
      <c r="E52" s="273">
        <v>0</v>
      </c>
      <c r="F52" s="273">
        <v>0</v>
      </c>
      <c r="G52" s="273">
        <v>0</v>
      </c>
      <c r="H52" s="273">
        <v>0</v>
      </c>
      <c r="I52" s="273">
        <v>0</v>
      </c>
      <c r="J52" s="273">
        <v>0</v>
      </c>
      <c r="K52" s="273">
        <v>0</v>
      </c>
      <c r="L52" s="273">
        <v>0</v>
      </c>
      <c r="M52" s="273">
        <v>0</v>
      </c>
      <c r="N52" s="273">
        <v>0</v>
      </c>
      <c r="O52" s="273">
        <v>0</v>
      </c>
      <c r="P52" s="273">
        <v>0</v>
      </c>
      <c r="Q52" s="273">
        <v>0</v>
      </c>
      <c r="R52" s="273">
        <v>0</v>
      </c>
      <c r="S52" s="273"/>
      <c r="T52" s="273"/>
    </row>
    <row r="53" spans="1:20" x14ac:dyDescent="0.2">
      <c r="A53" s="279"/>
      <c r="B53" s="281" t="s">
        <v>192</v>
      </c>
      <c r="C53" s="273">
        <v>1.2E-2</v>
      </c>
      <c r="D53" s="273">
        <v>1.2E-2</v>
      </c>
      <c r="E53" s="273">
        <v>0</v>
      </c>
      <c r="F53" s="273">
        <v>0</v>
      </c>
      <c r="G53" s="273">
        <v>0</v>
      </c>
      <c r="H53" s="273">
        <v>0</v>
      </c>
      <c r="I53" s="273">
        <v>0</v>
      </c>
      <c r="J53" s="273">
        <v>0</v>
      </c>
      <c r="K53" s="273">
        <v>0</v>
      </c>
      <c r="L53" s="273">
        <v>0</v>
      </c>
      <c r="M53" s="273">
        <v>0</v>
      </c>
      <c r="N53" s="273">
        <v>0</v>
      </c>
      <c r="O53" s="273">
        <v>0</v>
      </c>
      <c r="P53" s="273">
        <v>0</v>
      </c>
      <c r="Q53" s="273">
        <v>0</v>
      </c>
      <c r="R53" s="273">
        <v>0</v>
      </c>
      <c r="S53" s="273"/>
      <c r="T53" s="273"/>
    </row>
    <row r="54" spans="1:20" ht="25.5" x14ac:dyDescent="0.2">
      <c r="A54" s="271"/>
      <c r="B54" s="281" t="s">
        <v>193</v>
      </c>
      <c r="C54" s="273">
        <v>0.25</v>
      </c>
      <c r="D54" s="273">
        <v>0.25</v>
      </c>
      <c r="E54" s="273">
        <v>0</v>
      </c>
      <c r="F54" s="273">
        <v>0.25</v>
      </c>
      <c r="G54" s="273">
        <v>0</v>
      </c>
      <c r="H54" s="273">
        <v>2.2000000000000002</v>
      </c>
      <c r="I54" s="284">
        <v>0</v>
      </c>
      <c r="J54" s="273">
        <v>0</v>
      </c>
      <c r="K54" s="273">
        <v>0</v>
      </c>
      <c r="L54" s="273">
        <v>0</v>
      </c>
      <c r="M54" s="273">
        <v>0</v>
      </c>
      <c r="N54" s="273">
        <v>0</v>
      </c>
      <c r="O54" s="273">
        <v>0</v>
      </c>
      <c r="P54" s="273">
        <v>0</v>
      </c>
      <c r="Q54" s="273">
        <v>0</v>
      </c>
      <c r="R54" s="273">
        <v>0</v>
      </c>
      <c r="S54" s="273"/>
      <c r="T54" s="273"/>
    </row>
    <row r="55" spans="1:20" s="268" customFormat="1" x14ac:dyDescent="0.2">
      <c r="A55" s="271" t="s">
        <v>24</v>
      </c>
      <c r="B55" s="274" t="s">
        <v>194</v>
      </c>
      <c r="C55" s="273">
        <v>200</v>
      </c>
      <c r="D55" s="272">
        <v>200</v>
      </c>
      <c r="E55" s="273">
        <v>0.86</v>
      </c>
      <c r="F55" s="273">
        <v>0</v>
      </c>
      <c r="G55" s="273">
        <v>28.7</v>
      </c>
      <c r="H55" s="273">
        <v>121.2</v>
      </c>
      <c r="I55" s="273">
        <v>100</v>
      </c>
      <c r="J55" s="273">
        <v>8</v>
      </c>
      <c r="K55" s="273">
        <v>5</v>
      </c>
      <c r="L55" s="273">
        <v>9</v>
      </c>
      <c r="M55" s="273">
        <v>0.2</v>
      </c>
      <c r="N55" s="273">
        <v>0</v>
      </c>
      <c r="O55" s="273">
        <v>0.01</v>
      </c>
      <c r="P55" s="273">
        <v>0.01</v>
      </c>
      <c r="Q55" s="273">
        <v>0.1</v>
      </c>
      <c r="R55" s="273">
        <v>2</v>
      </c>
      <c r="S55" s="273"/>
      <c r="T55" s="273"/>
    </row>
    <row r="56" spans="1:20" s="231" customFormat="1" x14ac:dyDescent="0.2">
      <c r="A56" s="271"/>
      <c r="B56" s="272" t="s">
        <v>164</v>
      </c>
      <c r="C56" s="273"/>
      <c r="D56" s="272"/>
      <c r="E56" s="272">
        <f>E38+E55</f>
        <v>10.059999999999999</v>
      </c>
      <c r="F56" s="272">
        <f t="shared" ref="F56:Q56" si="6">F38+F55</f>
        <v>5</v>
      </c>
      <c r="G56" s="272">
        <f t="shared" si="6"/>
        <v>60.44</v>
      </c>
      <c r="H56" s="272">
        <f t="shared" si="6"/>
        <v>333.5</v>
      </c>
      <c r="I56" s="272">
        <f t="shared" si="6"/>
        <v>208.3</v>
      </c>
      <c r="J56" s="272">
        <f t="shared" si="6"/>
        <v>65.349999999999994</v>
      </c>
      <c r="K56" s="272">
        <f t="shared" si="6"/>
        <v>29.46</v>
      </c>
      <c r="L56" s="272">
        <f t="shared" si="6"/>
        <v>124.28</v>
      </c>
      <c r="M56" s="272">
        <f t="shared" si="6"/>
        <v>1.1399999999999999</v>
      </c>
      <c r="N56" s="272">
        <f t="shared" si="6"/>
        <v>0</v>
      </c>
      <c r="O56" s="272">
        <f t="shared" si="6"/>
        <v>0.01</v>
      </c>
      <c r="P56" s="272">
        <f t="shared" si="6"/>
        <v>0.01</v>
      </c>
      <c r="Q56" s="272">
        <f t="shared" si="6"/>
        <v>0.67999999999999994</v>
      </c>
      <c r="R56" s="272">
        <f>R38+R55</f>
        <v>2.14</v>
      </c>
      <c r="S56" s="272"/>
      <c r="T56" s="272"/>
    </row>
    <row r="57" spans="1:20" x14ac:dyDescent="0.2">
      <c r="A57" s="291"/>
      <c r="B57" s="277" t="s">
        <v>53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</row>
    <row r="58" spans="1:20" x14ac:dyDescent="0.2">
      <c r="A58" s="340" t="s">
        <v>195</v>
      </c>
      <c r="B58" s="272" t="s">
        <v>196</v>
      </c>
      <c r="C58" s="272"/>
      <c r="D58" s="272">
        <v>100</v>
      </c>
      <c r="E58" s="272">
        <v>15.8</v>
      </c>
      <c r="F58" s="272">
        <v>26.4</v>
      </c>
      <c r="G58" s="272">
        <v>32.9</v>
      </c>
      <c r="H58" s="272">
        <v>325.5</v>
      </c>
      <c r="I58" s="272">
        <v>196.7</v>
      </c>
      <c r="J58" s="272">
        <v>32.5</v>
      </c>
      <c r="K58" s="272">
        <v>31</v>
      </c>
      <c r="L58" s="272">
        <v>142.80000000000001</v>
      </c>
      <c r="M58" s="272">
        <v>1.98</v>
      </c>
      <c r="N58" s="272">
        <v>0</v>
      </c>
      <c r="O58" s="272">
        <v>0.1</v>
      </c>
      <c r="P58" s="272">
        <v>0.75</v>
      </c>
      <c r="Q58" s="272">
        <v>2.14</v>
      </c>
      <c r="R58" s="272">
        <v>0.44</v>
      </c>
      <c r="S58" s="272"/>
      <c r="T58" s="272"/>
    </row>
    <row r="59" spans="1:20" x14ac:dyDescent="0.2">
      <c r="A59" s="329"/>
      <c r="B59" s="273" t="s">
        <v>197</v>
      </c>
      <c r="C59" s="273">
        <v>51.28</v>
      </c>
      <c r="D59" s="273">
        <v>50</v>
      </c>
      <c r="E59" s="273">
        <v>10.5</v>
      </c>
      <c r="F59" s="273">
        <v>22</v>
      </c>
      <c r="G59" s="273">
        <v>0.2</v>
      </c>
      <c r="H59" s="273">
        <v>130.5</v>
      </c>
      <c r="I59" s="273">
        <v>110</v>
      </c>
      <c r="J59" s="273">
        <v>17.5</v>
      </c>
      <c r="K59" s="273">
        <v>10</v>
      </c>
      <c r="L59" s="273">
        <v>80</v>
      </c>
      <c r="M59" s="273">
        <v>0.9</v>
      </c>
      <c r="N59" s="273">
        <v>0</v>
      </c>
      <c r="O59" s="273">
        <v>0.1</v>
      </c>
      <c r="P59" s="273">
        <v>0.75</v>
      </c>
      <c r="Q59" s="273">
        <v>1.1000000000000001</v>
      </c>
      <c r="R59" s="273">
        <v>0</v>
      </c>
      <c r="S59" s="273"/>
      <c r="T59" s="273"/>
    </row>
    <row r="60" spans="1:20" x14ac:dyDescent="0.2">
      <c r="A60" s="273"/>
      <c r="B60" s="273" t="s">
        <v>38</v>
      </c>
      <c r="C60" s="273">
        <v>38.5</v>
      </c>
      <c r="D60" s="273">
        <v>38.5</v>
      </c>
      <c r="E60" s="273">
        <v>4.4000000000000004</v>
      </c>
      <c r="F60" s="273">
        <v>0.5</v>
      </c>
      <c r="G60" s="273">
        <v>29.7</v>
      </c>
      <c r="H60" s="273">
        <v>143.6</v>
      </c>
      <c r="I60" s="273">
        <v>75.7</v>
      </c>
      <c r="J60" s="273">
        <v>10.3</v>
      </c>
      <c r="K60" s="273">
        <v>19</v>
      </c>
      <c r="L60" s="273">
        <v>49.5</v>
      </c>
      <c r="M60" s="273">
        <v>0.9</v>
      </c>
      <c r="N60" s="273">
        <v>0</v>
      </c>
      <c r="O60" s="273">
        <v>0</v>
      </c>
      <c r="P60" s="273">
        <v>0</v>
      </c>
      <c r="Q60" s="273">
        <v>0.52</v>
      </c>
      <c r="R60" s="273">
        <v>0.22</v>
      </c>
      <c r="S60" s="273"/>
      <c r="T60" s="273"/>
    </row>
    <row r="61" spans="1:20" x14ac:dyDescent="0.2">
      <c r="A61" s="273"/>
      <c r="B61" s="273" t="s">
        <v>30</v>
      </c>
      <c r="C61" s="273">
        <v>3</v>
      </c>
      <c r="D61" s="273">
        <v>3</v>
      </c>
      <c r="E61" s="273">
        <v>0</v>
      </c>
      <c r="F61" s="273">
        <v>0</v>
      </c>
      <c r="G61" s="273">
        <v>3</v>
      </c>
      <c r="H61" s="273">
        <v>11.4</v>
      </c>
      <c r="I61" s="273">
        <v>0</v>
      </c>
      <c r="J61" s="273">
        <v>0</v>
      </c>
      <c r="K61" s="273">
        <v>1</v>
      </c>
      <c r="L61" s="273">
        <v>0</v>
      </c>
      <c r="M61" s="273">
        <v>0</v>
      </c>
      <c r="N61" s="273">
        <v>0</v>
      </c>
      <c r="O61" s="273">
        <v>0</v>
      </c>
      <c r="P61" s="273">
        <v>0</v>
      </c>
      <c r="Q61" s="273">
        <v>0.52</v>
      </c>
      <c r="R61" s="273">
        <v>0</v>
      </c>
      <c r="S61" s="273"/>
      <c r="T61" s="273"/>
    </row>
    <row r="62" spans="1:20" x14ac:dyDescent="0.2">
      <c r="A62" s="273"/>
      <c r="B62" s="273" t="s">
        <v>198</v>
      </c>
      <c r="C62" s="273">
        <v>1.1000000000000001</v>
      </c>
      <c r="D62" s="273">
        <v>1.1000000000000001</v>
      </c>
      <c r="E62" s="273">
        <v>0</v>
      </c>
      <c r="F62" s="273">
        <v>3.2</v>
      </c>
      <c r="G62" s="273">
        <v>0</v>
      </c>
      <c r="H62" s="273">
        <v>29</v>
      </c>
      <c r="I62" s="273">
        <v>1</v>
      </c>
      <c r="J62" s="273">
        <v>1</v>
      </c>
      <c r="K62" s="273"/>
      <c r="L62" s="273">
        <v>0.8</v>
      </c>
      <c r="M62" s="273">
        <v>0</v>
      </c>
      <c r="N62" s="273">
        <v>0</v>
      </c>
      <c r="O62" s="273">
        <v>0</v>
      </c>
      <c r="P62" s="273">
        <v>0</v>
      </c>
      <c r="Q62" s="273">
        <v>0</v>
      </c>
      <c r="R62" s="273">
        <v>0</v>
      </c>
      <c r="S62" s="273"/>
      <c r="T62" s="273"/>
    </row>
    <row r="63" spans="1:20" x14ac:dyDescent="0.2">
      <c r="A63" s="273"/>
      <c r="B63" s="273" t="s">
        <v>199</v>
      </c>
      <c r="C63" s="273">
        <v>3</v>
      </c>
      <c r="D63" s="273">
        <v>3</v>
      </c>
      <c r="E63" s="273">
        <v>0.9</v>
      </c>
      <c r="F63" s="273"/>
      <c r="G63" s="273">
        <v>0</v>
      </c>
      <c r="H63" s="273">
        <v>11</v>
      </c>
      <c r="I63" s="273">
        <v>10</v>
      </c>
      <c r="J63" s="273">
        <v>3.7</v>
      </c>
      <c r="K63" s="273">
        <v>0.2</v>
      </c>
      <c r="L63" s="273">
        <v>12.5</v>
      </c>
      <c r="M63" s="273">
        <v>0.18</v>
      </c>
      <c r="N63" s="273">
        <v>0</v>
      </c>
      <c r="O63" s="273">
        <v>0</v>
      </c>
      <c r="P63" s="273">
        <v>0</v>
      </c>
      <c r="Q63" s="273">
        <v>0</v>
      </c>
      <c r="R63" s="273">
        <v>0</v>
      </c>
      <c r="S63" s="273"/>
      <c r="T63" s="273"/>
    </row>
    <row r="64" spans="1:20" x14ac:dyDescent="0.2">
      <c r="A64" s="273"/>
      <c r="B64" s="273" t="s">
        <v>46</v>
      </c>
      <c r="C64" s="273">
        <v>0.6</v>
      </c>
      <c r="D64" s="273">
        <v>0.6</v>
      </c>
      <c r="E64" s="273">
        <v>0</v>
      </c>
      <c r="F64" s="273">
        <v>0.7</v>
      </c>
      <c r="G64" s="273">
        <v>0</v>
      </c>
      <c r="H64" s="273">
        <v>0</v>
      </c>
      <c r="I64" s="273">
        <v>0</v>
      </c>
      <c r="J64" s="273">
        <v>0</v>
      </c>
      <c r="K64" s="273">
        <v>0.8</v>
      </c>
      <c r="L64" s="273">
        <v>0</v>
      </c>
      <c r="M64" s="273">
        <v>0</v>
      </c>
      <c r="N64" s="273">
        <v>0</v>
      </c>
      <c r="O64" s="273">
        <v>0</v>
      </c>
      <c r="P64" s="273">
        <v>0</v>
      </c>
      <c r="Q64" s="273">
        <v>0</v>
      </c>
      <c r="R64" s="273">
        <v>0</v>
      </c>
      <c r="S64" s="273"/>
      <c r="T64" s="273"/>
    </row>
    <row r="65" spans="1:20" x14ac:dyDescent="0.2">
      <c r="A65" s="273"/>
      <c r="B65" s="273" t="s">
        <v>200</v>
      </c>
      <c r="C65" s="273">
        <v>0.28000000000000003</v>
      </c>
      <c r="D65" s="273">
        <v>0.28000000000000003</v>
      </c>
      <c r="E65" s="273">
        <v>0</v>
      </c>
      <c r="F65" s="273">
        <v>0</v>
      </c>
      <c r="G65" s="273">
        <v>0</v>
      </c>
      <c r="H65" s="273">
        <v>0</v>
      </c>
      <c r="I65" s="273">
        <v>0</v>
      </c>
      <c r="J65" s="273">
        <v>0</v>
      </c>
      <c r="K65" s="273">
        <v>0</v>
      </c>
      <c r="L65" s="273">
        <v>0</v>
      </c>
      <c r="M65" s="273">
        <v>0</v>
      </c>
      <c r="N65" s="273">
        <v>0</v>
      </c>
      <c r="O65" s="273">
        <v>0</v>
      </c>
      <c r="P65" s="273">
        <v>0</v>
      </c>
      <c r="Q65" s="273">
        <v>0</v>
      </c>
      <c r="R65" s="273">
        <v>0</v>
      </c>
      <c r="S65" s="273"/>
      <c r="T65" s="273"/>
    </row>
    <row r="66" spans="1:20" ht="25.5" x14ac:dyDescent="0.2">
      <c r="A66" s="273"/>
      <c r="B66" s="281" t="s">
        <v>34</v>
      </c>
      <c r="C66" s="273">
        <v>1</v>
      </c>
      <c r="D66" s="273">
        <v>1</v>
      </c>
      <c r="E66" s="273">
        <v>0</v>
      </c>
      <c r="F66" s="273">
        <v>1</v>
      </c>
      <c r="G66" s="273">
        <v>0</v>
      </c>
      <c r="H66" s="273">
        <v>8.99</v>
      </c>
      <c r="I66" s="273">
        <v>0</v>
      </c>
      <c r="J66" s="273">
        <v>0</v>
      </c>
      <c r="K66" s="273">
        <v>0</v>
      </c>
      <c r="L66" s="273">
        <v>0</v>
      </c>
      <c r="M66" s="273">
        <v>0</v>
      </c>
      <c r="N66" s="273">
        <v>0</v>
      </c>
      <c r="O66" s="273">
        <v>0</v>
      </c>
      <c r="P66" s="273">
        <v>0</v>
      </c>
      <c r="Q66" s="273">
        <v>0</v>
      </c>
      <c r="R66" s="273">
        <v>0</v>
      </c>
      <c r="S66" s="273"/>
      <c r="T66" s="273"/>
    </row>
    <row r="67" spans="1:20" x14ac:dyDescent="0.2">
      <c r="A67" s="273"/>
      <c r="B67" s="273" t="s">
        <v>35</v>
      </c>
      <c r="C67" s="273">
        <v>11</v>
      </c>
      <c r="D67" s="273">
        <v>11</v>
      </c>
      <c r="E67" s="273">
        <v>0</v>
      </c>
      <c r="F67" s="273">
        <v>0</v>
      </c>
      <c r="G67" s="273">
        <v>0</v>
      </c>
      <c r="H67" s="273">
        <v>0</v>
      </c>
      <c r="I67" s="273">
        <v>0</v>
      </c>
      <c r="J67" s="273">
        <v>0</v>
      </c>
      <c r="K67" s="273">
        <v>0</v>
      </c>
      <c r="L67" s="273">
        <v>0</v>
      </c>
      <c r="M67" s="273">
        <v>0</v>
      </c>
      <c r="N67" s="273">
        <v>0</v>
      </c>
      <c r="O67" s="273">
        <v>0</v>
      </c>
      <c r="P67" s="273">
        <v>0</v>
      </c>
      <c r="Q67" s="273">
        <v>0</v>
      </c>
      <c r="R67" s="273">
        <v>0.22</v>
      </c>
      <c r="S67" s="273"/>
      <c r="T67" s="273"/>
    </row>
    <row r="68" spans="1:20" ht="12.75" customHeight="1" x14ac:dyDescent="0.2">
      <c r="A68" s="271" t="s">
        <v>207</v>
      </c>
      <c r="B68" s="274" t="s">
        <v>208</v>
      </c>
      <c r="C68" s="273"/>
      <c r="D68" s="272">
        <v>200</v>
      </c>
      <c r="E68" s="272">
        <v>3.7</v>
      </c>
      <c r="F68" s="272">
        <v>2.5</v>
      </c>
      <c r="G68" s="272">
        <v>24.4</v>
      </c>
      <c r="H68" s="272">
        <v>135.07</v>
      </c>
      <c r="I68" s="272">
        <v>204.5</v>
      </c>
      <c r="J68" s="272">
        <v>125.7</v>
      </c>
      <c r="K68" s="272">
        <v>29.92</v>
      </c>
      <c r="L68" s="272">
        <v>113.2</v>
      </c>
      <c r="M68" s="272">
        <v>0.98</v>
      </c>
      <c r="N68" s="272">
        <v>0.2</v>
      </c>
      <c r="O68" s="272">
        <v>0.02</v>
      </c>
      <c r="P68" s="272">
        <v>0.08</v>
      </c>
      <c r="Q68" s="272">
        <v>0.08</v>
      </c>
      <c r="R68" s="272">
        <v>0.38</v>
      </c>
      <c r="S68" s="272"/>
      <c r="T68" s="272"/>
    </row>
    <row r="69" spans="1:20" x14ac:dyDescent="0.2">
      <c r="A69" s="271"/>
      <c r="B69" s="281" t="s">
        <v>209</v>
      </c>
      <c r="C69" s="273">
        <v>4</v>
      </c>
      <c r="D69" s="273">
        <v>4</v>
      </c>
      <c r="E69" s="273">
        <v>1</v>
      </c>
      <c r="F69" s="273">
        <v>0.6</v>
      </c>
      <c r="G69" s="273">
        <v>0.4</v>
      </c>
      <c r="H69" s="273">
        <v>11.6</v>
      </c>
      <c r="I69" s="273">
        <v>60</v>
      </c>
      <c r="J69" s="273">
        <v>5.12</v>
      </c>
      <c r="K69" s="273">
        <v>17</v>
      </c>
      <c r="L69" s="273">
        <v>26.2</v>
      </c>
      <c r="M69" s="273">
        <v>0.9</v>
      </c>
      <c r="N69" s="273">
        <v>0.12</v>
      </c>
      <c r="O69" s="273">
        <v>0</v>
      </c>
      <c r="P69" s="273">
        <v>0</v>
      </c>
      <c r="Q69" s="273">
        <v>0</v>
      </c>
      <c r="R69" s="273">
        <v>0</v>
      </c>
      <c r="S69" s="273"/>
      <c r="T69" s="273"/>
    </row>
    <row r="70" spans="1:20" ht="25.5" x14ac:dyDescent="0.2">
      <c r="A70" s="271"/>
      <c r="B70" s="281" t="s">
        <v>210</v>
      </c>
      <c r="C70" s="273">
        <v>38</v>
      </c>
      <c r="D70" s="273">
        <v>38</v>
      </c>
      <c r="E70" s="273">
        <v>2.7</v>
      </c>
      <c r="F70" s="273">
        <v>1.9</v>
      </c>
      <c r="G70" s="273">
        <v>21</v>
      </c>
      <c r="H70" s="273">
        <v>112.1</v>
      </c>
      <c r="I70" s="273">
        <v>144.4</v>
      </c>
      <c r="J70" s="273">
        <v>120.5</v>
      </c>
      <c r="K70" s="273">
        <v>12.92</v>
      </c>
      <c r="L70" s="273">
        <v>87</v>
      </c>
      <c r="M70" s="273">
        <v>0.08</v>
      </c>
      <c r="N70" s="273">
        <v>0.08</v>
      </c>
      <c r="O70" s="273">
        <v>0.02</v>
      </c>
      <c r="P70" s="273">
        <v>0.08</v>
      </c>
      <c r="Q70" s="273">
        <v>0.08</v>
      </c>
      <c r="R70" s="273">
        <v>0.38</v>
      </c>
      <c r="S70" s="273"/>
      <c r="T70" s="273"/>
    </row>
    <row r="71" spans="1:20" x14ac:dyDescent="0.2">
      <c r="A71" s="271"/>
      <c r="B71" s="281" t="s">
        <v>30</v>
      </c>
      <c r="C71" s="273">
        <v>3</v>
      </c>
      <c r="D71" s="273">
        <v>3</v>
      </c>
      <c r="E71" s="273">
        <v>0</v>
      </c>
      <c r="F71" s="273">
        <v>0</v>
      </c>
      <c r="G71" s="273">
        <v>3</v>
      </c>
      <c r="H71" s="273">
        <v>11.37</v>
      </c>
      <c r="I71" s="273">
        <v>0.09</v>
      </c>
      <c r="J71" s="273">
        <v>0.08</v>
      </c>
      <c r="K71" s="273">
        <v>0</v>
      </c>
      <c r="L71" s="273">
        <v>0</v>
      </c>
      <c r="M71" s="273">
        <v>0</v>
      </c>
      <c r="N71" s="273">
        <v>0</v>
      </c>
      <c r="O71" s="273">
        <v>0</v>
      </c>
      <c r="P71" s="273">
        <v>0</v>
      </c>
      <c r="Q71" s="273">
        <v>0</v>
      </c>
      <c r="R71" s="273">
        <v>0</v>
      </c>
      <c r="S71" s="273"/>
      <c r="T71" s="273"/>
    </row>
    <row r="72" spans="1:20" x14ac:dyDescent="0.2">
      <c r="A72" s="271"/>
      <c r="B72" s="281" t="s">
        <v>35</v>
      </c>
      <c r="C72" s="273">
        <v>176</v>
      </c>
      <c r="D72" s="273">
        <v>176</v>
      </c>
      <c r="E72" s="273">
        <v>0</v>
      </c>
      <c r="F72" s="273">
        <v>0</v>
      </c>
      <c r="G72" s="273">
        <v>0</v>
      </c>
      <c r="H72" s="273">
        <v>0</v>
      </c>
      <c r="I72" s="273">
        <v>0</v>
      </c>
      <c r="J72" s="273">
        <v>0</v>
      </c>
      <c r="K72" s="273">
        <v>0</v>
      </c>
      <c r="L72" s="273">
        <v>0</v>
      </c>
      <c r="M72" s="273">
        <v>0</v>
      </c>
      <c r="N72" s="273">
        <v>0</v>
      </c>
      <c r="O72" s="273">
        <v>0</v>
      </c>
      <c r="P72" s="273">
        <v>0</v>
      </c>
      <c r="Q72" s="273">
        <v>0</v>
      </c>
      <c r="R72" s="273">
        <v>0</v>
      </c>
      <c r="S72" s="273"/>
      <c r="T72" s="273"/>
    </row>
    <row r="73" spans="1:20" x14ac:dyDescent="0.2">
      <c r="A73" s="272"/>
      <c r="B73" s="272" t="s">
        <v>211</v>
      </c>
      <c r="C73" s="272"/>
      <c r="D73" s="272"/>
      <c r="E73" s="272">
        <f>E68+E61</f>
        <v>3.7</v>
      </c>
      <c r="F73" s="272">
        <f t="shared" ref="F73:Q73" si="7">F68+F61</f>
        <v>2.5</v>
      </c>
      <c r="G73" s="272">
        <f t="shared" si="7"/>
        <v>27.4</v>
      </c>
      <c r="H73" s="272">
        <f t="shared" si="7"/>
        <v>146.47</v>
      </c>
      <c r="I73" s="272">
        <f t="shared" si="7"/>
        <v>204.5</v>
      </c>
      <c r="J73" s="272">
        <f t="shared" si="7"/>
        <v>125.7</v>
      </c>
      <c r="K73" s="272">
        <f t="shared" si="7"/>
        <v>30.92</v>
      </c>
      <c r="L73" s="272">
        <f t="shared" si="7"/>
        <v>113.2</v>
      </c>
      <c r="M73" s="272">
        <f t="shared" si="7"/>
        <v>0.98</v>
      </c>
      <c r="N73" s="272">
        <f t="shared" si="7"/>
        <v>0.2</v>
      </c>
      <c r="O73" s="272">
        <f t="shared" si="7"/>
        <v>0.02</v>
      </c>
      <c r="P73" s="272">
        <f t="shared" si="7"/>
        <v>0.08</v>
      </c>
      <c r="Q73" s="272">
        <f t="shared" si="7"/>
        <v>0.6</v>
      </c>
      <c r="R73" s="272">
        <f>R68+R61</f>
        <v>0.38</v>
      </c>
      <c r="S73" s="272"/>
      <c r="T73" s="272"/>
    </row>
    <row r="74" spans="1:20" x14ac:dyDescent="0.2">
      <c r="A74" s="271"/>
      <c r="B74" s="273"/>
      <c r="C74" s="273"/>
      <c r="D74" s="273"/>
      <c r="E74" s="273"/>
      <c r="F74" s="273"/>
      <c r="G74" s="273"/>
      <c r="H74" s="273"/>
      <c r="I74" s="278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</row>
    <row r="75" spans="1:20" ht="13.5" customHeight="1" x14ac:dyDescent="0.2">
      <c r="A75" s="271"/>
      <c r="B75" s="277" t="s">
        <v>56</v>
      </c>
      <c r="C75" s="273"/>
      <c r="D75" s="273"/>
      <c r="E75" s="273"/>
      <c r="F75" s="273"/>
      <c r="G75" s="273"/>
      <c r="H75" s="273"/>
      <c r="I75" s="278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</row>
    <row r="76" spans="1:20" ht="26.25" customHeight="1" x14ac:dyDescent="0.2">
      <c r="A76" s="301" t="s">
        <v>221</v>
      </c>
      <c r="B76" s="302" t="s">
        <v>222</v>
      </c>
      <c r="C76" s="330">
        <v>210</v>
      </c>
      <c r="D76" s="331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</row>
    <row r="77" spans="1:20" x14ac:dyDescent="0.2">
      <c r="A77" s="303"/>
      <c r="B77" s="304" t="s">
        <v>223</v>
      </c>
      <c r="C77" s="282">
        <v>14</v>
      </c>
      <c r="D77" s="282">
        <v>14</v>
      </c>
      <c r="E77" s="273">
        <f>11.5*D77/100</f>
        <v>1.61</v>
      </c>
      <c r="F77" s="273">
        <f>1*D77/100</f>
        <v>0.14000000000000001</v>
      </c>
      <c r="G77" s="273">
        <f>71.4*D77/100</f>
        <v>9.9960000000000022</v>
      </c>
      <c r="H77" s="273">
        <f>330*D77/100</f>
        <v>46.2</v>
      </c>
      <c r="I77" s="273">
        <f>D77*54/100</f>
        <v>7.56</v>
      </c>
      <c r="J77" s="273">
        <f>24*D77/100</f>
        <v>3.36</v>
      </c>
      <c r="K77" s="273">
        <f>21*D77/100</f>
        <v>2.94</v>
      </c>
      <c r="L77" s="273">
        <f>1.8*D77/100</f>
        <v>0.252</v>
      </c>
      <c r="M77" s="273">
        <f>1.8*D77/100</f>
        <v>0.252</v>
      </c>
      <c r="N77" s="273">
        <v>0</v>
      </c>
      <c r="O77" s="273">
        <f>0.08*D77/100</f>
        <v>1.1200000000000002E-2</v>
      </c>
      <c r="P77" s="273">
        <f>0.04*D77/100</f>
        <v>5.6000000000000008E-3</v>
      </c>
      <c r="Q77" s="273">
        <f>1.6*D77/100</f>
        <v>0.22400000000000003</v>
      </c>
      <c r="R77" s="273">
        <v>0</v>
      </c>
      <c r="S77" s="273"/>
      <c r="T77" s="273"/>
    </row>
    <row r="78" spans="1:20" x14ac:dyDescent="0.2">
      <c r="A78" s="303"/>
      <c r="B78" s="304" t="s">
        <v>224</v>
      </c>
      <c r="C78" s="282">
        <v>19</v>
      </c>
      <c r="D78" s="282">
        <v>19</v>
      </c>
      <c r="E78" s="300">
        <f>11.5*D78/100</f>
        <v>2.1850000000000001</v>
      </c>
      <c r="F78" s="300">
        <f>3.33*D78/100</f>
        <v>0.63270000000000004</v>
      </c>
      <c r="G78" s="300">
        <f>66.5*D78/100</f>
        <v>12.635</v>
      </c>
      <c r="H78" s="300">
        <f>348*D78/100</f>
        <v>66.12</v>
      </c>
      <c r="I78" s="300">
        <f>D78*201/100</f>
        <v>38.19</v>
      </c>
      <c r="J78" s="300">
        <f>27*D78/100</f>
        <v>5.13</v>
      </c>
      <c r="K78" s="300">
        <f>101*D78/100</f>
        <v>19.190000000000001</v>
      </c>
      <c r="L78" s="300">
        <f>7*D78/100</f>
        <v>1.33</v>
      </c>
      <c r="M78" s="300">
        <f>7*D78/100</f>
        <v>1.33</v>
      </c>
      <c r="N78" s="300">
        <f>0.15*D78/100</f>
        <v>2.8500000000000001E-2</v>
      </c>
      <c r="O78" s="300">
        <f>0.62*D78/100</f>
        <v>0.11779999999999999</v>
      </c>
      <c r="P78" s="300">
        <f>0.04*D78/100</f>
        <v>7.6E-3</v>
      </c>
      <c r="Q78" s="300">
        <f>1.55*D78/100</f>
        <v>0.29449999999999998</v>
      </c>
      <c r="R78" s="300">
        <v>0</v>
      </c>
      <c r="S78" s="300"/>
      <c r="T78" s="300"/>
    </row>
    <row r="79" spans="1:20" x14ac:dyDescent="0.2">
      <c r="A79" s="303"/>
      <c r="B79" s="304" t="s">
        <v>225</v>
      </c>
      <c r="C79" s="282">
        <v>100</v>
      </c>
      <c r="D79" s="282">
        <v>100</v>
      </c>
      <c r="E79" s="300">
        <f>2.8*C79/100</f>
        <v>2.8</v>
      </c>
      <c r="F79" s="300">
        <f>3.2*C79/100</f>
        <v>3.2</v>
      </c>
      <c r="G79" s="300">
        <f>4.7*C79/100</f>
        <v>4.7</v>
      </c>
      <c r="H79" s="300">
        <f>5.8*C79/100</f>
        <v>5.8</v>
      </c>
      <c r="I79" s="300">
        <f>146*C79/100</f>
        <v>146</v>
      </c>
      <c r="J79" s="300">
        <f>120*C79/100</f>
        <v>120</v>
      </c>
      <c r="K79" s="300">
        <f>114*C79/100</f>
        <v>114</v>
      </c>
      <c r="L79" s="300">
        <f>0.1*C79/100</f>
        <v>0.1</v>
      </c>
      <c r="M79" s="300">
        <f>0.1*C79/100</f>
        <v>0.1</v>
      </c>
      <c r="N79" s="300">
        <f>0.02*C79/100</f>
        <v>0.02</v>
      </c>
      <c r="O79" s="300">
        <f>0.04*C79/100</f>
        <v>0.04</v>
      </c>
      <c r="P79" s="300">
        <f>0.15*C79/100</f>
        <v>0.15</v>
      </c>
      <c r="Q79" s="300">
        <f>0.1*C79/100</f>
        <v>0.1</v>
      </c>
      <c r="R79" s="300">
        <f>1.3*A79/100</f>
        <v>0</v>
      </c>
      <c r="S79" s="300"/>
      <c r="T79" s="300"/>
    </row>
    <row r="80" spans="1:20" x14ac:dyDescent="0.2">
      <c r="A80" s="303"/>
      <c r="B80" s="304" t="s">
        <v>226</v>
      </c>
      <c r="C80" s="282">
        <v>65</v>
      </c>
      <c r="D80" s="282">
        <v>65</v>
      </c>
      <c r="E80" s="282">
        <v>0</v>
      </c>
      <c r="F80" s="282">
        <v>0</v>
      </c>
      <c r="G80" s="282">
        <v>0</v>
      </c>
      <c r="H80" s="282">
        <v>0</v>
      </c>
      <c r="I80" s="282">
        <v>0</v>
      </c>
      <c r="J80" s="282">
        <v>0</v>
      </c>
      <c r="K80" s="282">
        <v>0</v>
      </c>
      <c r="L80" s="282">
        <v>0</v>
      </c>
      <c r="M80" s="282">
        <v>0</v>
      </c>
      <c r="N80" s="282">
        <v>0</v>
      </c>
      <c r="O80" s="282">
        <v>0</v>
      </c>
      <c r="P80" s="282">
        <v>0</v>
      </c>
      <c r="Q80" s="282">
        <v>0</v>
      </c>
      <c r="R80" s="282">
        <v>0</v>
      </c>
      <c r="S80" s="282"/>
      <c r="T80" s="282"/>
    </row>
    <row r="81" spans="1:20" x14ac:dyDescent="0.2">
      <c r="A81" s="303"/>
      <c r="B81" s="304" t="s">
        <v>227</v>
      </c>
      <c r="C81" s="270">
        <v>6</v>
      </c>
      <c r="D81" s="270">
        <v>6</v>
      </c>
      <c r="E81" s="300">
        <f>0</f>
        <v>0</v>
      </c>
      <c r="F81" s="300">
        <v>0</v>
      </c>
      <c r="G81" s="300">
        <f>99.8*D81/100</f>
        <v>5.9879999999999995</v>
      </c>
      <c r="H81" s="300">
        <f>379*D81/100</f>
        <v>22.74</v>
      </c>
      <c r="I81" s="300">
        <f>3*D81/100</f>
        <v>0.18</v>
      </c>
      <c r="J81" s="300">
        <f>2*D81/100</f>
        <v>0.12</v>
      </c>
      <c r="K81" s="300">
        <f>0</f>
        <v>0</v>
      </c>
      <c r="L81" s="300">
        <f>0.3*D81/100</f>
        <v>1.7999999999999999E-2</v>
      </c>
      <c r="M81" s="300">
        <f>0.3*D81/100</f>
        <v>1.7999999999999999E-2</v>
      </c>
      <c r="N81" s="300">
        <v>0</v>
      </c>
      <c r="O81" s="300">
        <f>0</f>
        <v>0</v>
      </c>
      <c r="P81" s="300">
        <v>0</v>
      </c>
      <c r="Q81" s="300">
        <v>0</v>
      </c>
      <c r="R81" s="300">
        <v>0</v>
      </c>
      <c r="S81" s="300"/>
      <c r="T81" s="300"/>
    </row>
    <row r="82" spans="1:20" ht="25.5" x14ac:dyDescent="0.2">
      <c r="A82" s="303"/>
      <c r="B82" s="305" t="s">
        <v>228</v>
      </c>
      <c r="C82" s="282">
        <v>10</v>
      </c>
      <c r="D82" s="282">
        <v>10</v>
      </c>
      <c r="E82" s="296">
        <f>0.8*D82/100</f>
        <v>0.08</v>
      </c>
      <c r="F82" s="296">
        <f>72.5*D82/100</f>
        <v>7.25</v>
      </c>
      <c r="G82" s="296">
        <f>1.3*D82/100</f>
        <v>0.13</v>
      </c>
      <c r="H82" s="296">
        <f>661*D82/100</f>
        <v>66.099999999999994</v>
      </c>
      <c r="I82" s="306">
        <f>23*D82/100</f>
        <v>2.2999999999999998</v>
      </c>
      <c r="J82" s="296">
        <f>22*D82/100</f>
        <v>2.2000000000000002</v>
      </c>
      <c r="K82" s="296">
        <f>3*D82/100</f>
        <v>0.3</v>
      </c>
      <c r="L82" s="297">
        <f>19*D82/100</f>
        <v>1.9</v>
      </c>
      <c r="M82" s="296">
        <f>0.2*D82/100</f>
        <v>0.02</v>
      </c>
      <c r="N82" s="296">
        <f>0.5*D82/100</f>
        <v>0.05</v>
      </c>
      <c r="O82" s="296">
        <f>0</f>
        <v>0</v>
      </c>
      <c r="P82" s="296">
        <f>0.01*D82/100</f>
        <v>1E-3</v>
      </c>
      <c r="Q82" s="296">
        <f>0.1*D82/100</f>
        <v>0.01</v>
      </c>
      <c r="R82" s="296">
        <f>0</f>
        <v>0</v>
      </c>
      <c r="S82" s="296"/>
      <c r="T82" s="296"/>
    </row>
    <row r="83" spans="1:20" x14ac:dyDescent="0.2">
      <c r="A83" s="301"/>
      <c r="B83" s="307" t="s">
        <v>77</v>
      </c>
      <c r="C83" s="277"/>
      <c r="D83" s="277"/>
      <c r="E83" s="277">
        <f>SUM(E77:E82)+1</f>
        <v>7.6749999999999998</v>
      </c>
      <c r="F83" s="277">
        <f>SUM(F77:F82)</f>
        <v>11.2227</v>
      </c>
      <c r="G83" s="277">
        <f t="shared" ref="G83:Q83" si="8">SUM(G77:G82)</f>
        <v>33.449000000000005</v>
      </c>
      <c r="H83" s="277">
        <f t="shared" si="8"/>
        <v>206.96</v>
      </c>
      <c r="I83" s="277">
        <f t="shared" si="8"/>
        <v>194.23000000000002</v>
      </c>
      <c r="J83" s="277">
        <f t="shared" si="8"/>
        <v>130.81</v>
      </c>
      <c r="K83" s="277">
        <f t="shared" si="8"/>
        <v>136.43</v>
      </c>
      <c r="L83" s="277">
        <f t="shared" si="8"/>
        <v>3.6</v>
      </c>
      <c r="M83" s="277">
        <f t="shared" si="8"/>
        <v>1.7200000000000002</v>
      </c>
      <c r="N83" s="277">
        <f t="shared" si="8"/>
        <v>9.8500000000000004E-2</v>
      </c>
      <c r="O83" s="277">
        <f t="shared" si="8"/>
        <v>0.16900000000000001</v>
      </c>
      <c r="P83" s="277">
        <f t="shared" si="8"/>
        <v>0.16419999999999998</v>
      </c>
      <c r="Q83" s="277">
        <f t="shared" si="8"/>
        <v>0.62849999999999995</v>
      </c>
      <c r="R83" s="277">
        <f>SUM(R77:R82)</f>
        <v>0</v>
      </c>
      <c r="S83" s="277"/>
      <c r="T83" s="277"/>
    </row>
    <row r="84" spans="1:20" x14ac:dyDescent="0.2">
      <c r="A84" s="271" t="s">
        <v>73</v>
      </c>
      <c r="B84" s="274" t="s">
        <v>74</v>
      </c>
      <c r="C84" s="330" t="s">
        <v>75</v>
      </c>
      <c r="D84" s="331"/>
      <c r="E84" s="272">
        <v>0.1</v>
      </c>
      <c r="F84" s="272">
        <v>0</v>
      </c>
      <c r="G84" s="272">
        <v>15</v>
      </c>
      <c r="H84" s="272">
        <v>57.7</v>
      </c>
      <c r="I84" s="289">
        <v>12.9</v>
      </c>
      <c r="J84" s="272">
        <v>2.9</v>
      </c>
      <c r="K84" s="272">
        <v>2.2000000000000002</v>
      </c>
      <c r="L84" s="289">
        <v>4.12</v>
      </c>
      <c r="M84" s="272">
        <v>0.4</v>
      </c>
      <c r="N84" s="272">
        <v>0</v>
      </c>
      <c r="O84" s="272">
        <v>0</v>
      </c>
      <c r="P84" s="272">
        <v>0</v>
      </c>
      <c r="Q84" s="272">
        <v>0</v>
      </c>
      <c r="R84" s="272">
        <v>0</v>
      </c>
      <c r="S84" s="272"/>
      <c r="T84" s="272"/>
    </row>
    <row r="85" spans="1:20" x14ac:dyDescent="0.2">
      <c r="A85" s="271"/>
      <c r="B85" s="281" t="s">
        <v>40</v>
      </c>
      <c r="C85" s="282">
        <v>50</v>
      </c>
      <c r="D85" s="282">
        <v>50</v>
      </c>
      <c r="E85" s="273">
        <v>0.1</v>
      </c>
      <c r="F85" s="273">
        <v>0</v>
      </c>
      <c r="G85" s="273">
        <v>0</v>
      </c>
      <c r="H85" s="273">
        <v>0.8</v>
      </c>
      <c r="I85" s="284">
        <v>12.4</v>
      </c>
      <c r="J85" s="273">
        <v>2.5</v>
      </c>
      <c r="K85" s="273">
        <v>2.2000000000000002</v>
      </c>
      <c r="L85" s="284">
        <v>4.12</v>
      </c>
      <c r="M85" s="273">
        <v>0.4</v>
      </c>
      <c r="N85" s="273">
        <v>0</v>
      </c>
      <c r="O85" s="273">
        <v>0</v>
      </c>
      <c r="P85" s="273">
        <v>0</v>
      </c>
      <c r="Q85" s="273">
        <v>0</v>
      </c>
      <c r="R85" s="273">
        <v>0</v>
      </c>
      <c r="S85" s="273"/>
      <c r="T85" s="273"/>
    </row>
    <row r="86" spans="1:20" x14ac:dyDescent="0.2">
      <c r="A86" s="271"/>
      <c r="B86" s="281" t="s">
        <v>30</v>
      </c>
      <c r="C86" s="282">
        <v>15</v>
      </c>
      <c r="D86" s="282">
        <v>15</v>
      </c>
      <c r="E86" s="273">
        <v>0</v>
      </c>
      <c r="F86" s="273">
        <v>0</v>
      </c>
      <c r="G86" s="273">
        <v>15</v>
      </c>
      <c r="H86" s="273">
        <v>56.9</v>
      </c>
      <c r="I86" s="284">
        <v>0.5</v>
      </c>
      <c r="J86" s="273">
        <v>0.4</v>
      </c>
      <c r="K86" s="273">
        <v>0</v>
      </c>
      <c r="L86" s="284">
        <v>0</v>
      </c>
      <c r="M86" s="273">
        <v>0</v>
      </c>
      <c r="N86" s="273">
        <v>0</v>
      </c>
      <c r="O86" s="273">
        <v>0</v>
      </c>
      <c r="P86" s="273">
        <v>0</v>
      </c>
      <c r="Q86" s="273">
        <v>0</v>
      </c>
      <c r="R86" s="273">
        <v>0</v>
      </c>
      <c r="S86" s="273"/>
      <c r="T86" s="273"/>
    </row>
    <row r="87" spans="1:20" x14ac:dyDescent="0.2">
      <c r="A87" s="279"/>
      <c r="B87" s="281" t="s">
        <v>35</v>
      </c>
      <c r="C87" s="282">
        <v>150</v>
      </c>
      <c r="D87" s="282">
        <v>150</v>
      </c>
      <c r="E87" s="273">
        <v>0</v>
      </c>
      <c r="F87" s="273">
        <v>0</v>
      </c>
      <c r="G87" s="273">
        <v>0</v>
      </c>
      <c r="H87" s="273">
        <v>0</v>
      </c>
      <c r="I87" s="273">
        <v>0</v>
      </c>
      <c r="J87" s="273">
        <v>0</v>
      </c>
      <c r="K87" s="273">
        <v>0</v>
      </c>
      <c r="L87" s="273">
        <v>0</v>
      </c>
      <c r="M87" s="273">
        <v>0</v>
      </c>
      <c r="N87" s="273">
        <v>0</v>
      </c>
      <c r="O87" s="273">
        <v>0</v>
      </c>
      <c r="P87" s="273">
        <v>0</v>
      </c>
      <c r="Q87" s="273">
        <v>0</v>
      </c>
      <c r="R87" s="273">
        <v>0</v>
      </c>
      <c r="S87" s="273"/>
      <c r="T87" s="273"/>
    </row>
    <row r="88" spans="1:20" s="231" customFormat="1" x14ac:dyDescent="0.2">
      <c r="A88" s="271"/>
      <c r="B88" s="272" t="s">
        <v>164</v>
      </c>
      <c r="C88" s="273"/>
      <c r="D88" s="273"/>
      <c r="E88" s="272">
        <f t="shared" ref="E88:R88" si="9">E76+E84</f>
        <v>0.1</v>
      </c>
      <c r="F88" s="272">
        <f t="shared" si="9"/>
        <v>0</v>
      </c>
      <c r="G88" s="272">
        <f t="shared" si="9"/>
        <v>15</v>
      </c>
      <c r="H88" s="272">
        <f t="shared" si="9"/>
        <v>57.7</v>
      </c>
      <c r="I88" s="272">
        <f t="shared" si="9"/>
        <v>12.9</v>
      </c>
      <c r="J88" s="272">
        <f t="shared" si="9"/>
        <v>2.9</v>
      </c>
      <c r="K88" s="272">
        <f t="shared" si="9"/>
        <v>2.2000000000000002</v>
      </c>
      <c r="L88" s="272">
        <f t="shared" si="9"/>
        <v>4.12</v>
      </c>
      <c r="M88" s="272">
        <f t="shared" si="9"/>
        <v>0.4</v>
      </c>
      <c r="N88" s="272">
        <f t="shared" si="9"/>
        <v>0</v>
      </c>
      <c r="O88" s="272">
        <f t="shared" si="9"/>
        <v>0</v>
      </c>
      <c r="P88" s="272">
        <f t="shared" si="9"/>
        <v>0</v>
      </c>
      <c r="Q88" s="272">
        <f t="shared" si="9"/>
        <v>0</v>
      </c>
      <c r="R88" s="272">
        <f t="shared" si="9"/>
        <v>0</v>
      </c>
      <c r="S88" s="272"/>
      <c r="T88" s="272"/>
    </row>
    <row r="89" spans="1:20" x14ac:dyDescent="0.2">
      <c r="A89" s="271"/>
      <c r="B89" s="281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</row>
    <row r="90" spans="1:20" x14ac:dyDescent="0.2">
      <c r="A90" s="271"/>
      <c r="B90" s="277" t="s">
        <v>59</v>
      </c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</row>
    <row r="91" spans="1:20" ht="25.5" x14ac:dyDescent="0.2">
      <c r="A91" s="271" t="s">
        <v>234</v>
      </c>
      <c r="B91" s="274" t="s">
        <v>235</v>
      </c>
      <c r="C91" s="273"/>
      <c r="D91" s="272">
        <v>200</v>
      </c>
      <c r="E91" s="272">
        <v>4.3099999999999996</v>
      </c>
      <c r="F91" s="272">
        <v>4.57</v>
      </c>
      <c r="G91" s="272">
        <v>17.3</v>
      </c>
      <c r="H91" s="272">
        <v>127.9</v>
      </c>
      <c r="I91" s="289">
        <v>122</v>
      </c>
      <c r="J91" s="272">
        <v>19.899999999999999</v>
      </c>
      <c r="K91" s="272">
        <v>30.14</v>
      </c>
      <c r="L91" s="272">
        <v>80.3</v>
      </c>
      <c r="M91" s="272">
        <v>1.4</v>
      </c>
      <c r="N91" s="272">
        <v>0</v>
      </c>
      <c r="O91" s="272">
        <v>0.1</v>
      </c>
      <c r="P91" s="272">
        <v>0</v>
      </c>
      <c r="Q91" s="272">
        <v>0.8</v>
      </c>
      <c r="R91" s="272">
        <v>0.14000000000000001</v>
      </c>
      <c r="S91" s="272"/>
      <c r="T91" s="272"/>
    </row>
    <row r="92" spans="1:20" x14ac:dyDescent="0.2">
      <c r="A92" s="271"/>
      <c r="B92" s="281" t="s">
        <v>142</v>
      </c>
      <c r="C92" s="273">
        <v>100</v>
      </c>
      <c r="D92" s="273">
        <v>100</v>
      </c>
      <c r="E92" s="273">
        <v>2.8</v>
      </c>
      <c r="F92" s="273">
        <v>3.2</v>
      </c>
      <c r="G92" s="273">
        <v>4.7</v>
      </c>
      <c r="H92" s="273">
        <v>58.1</v>
      </c>
      <c r="I92" s="278">
        <v>23.9</v>
      </c>
      <c r="J92" s="273">
        <v>2.39</v>
      </c>
      <c r="K92" s="273">
        <v>29.7</v>
      </c>
      <c r="L92" s="284">
        <v>77.5</v>
      </c>
      <c r="M92" s="273">
        <v>1.4</v>
      </c>
      <c r="N92" s="273">
        <v>0</v>
      </c>
      <c r="O92" s="273">
        <v>0.1</v>
      </c>
      <c r="P92" s="273">
        <v>0</v>
      </c>
      <c r="Q92" s="273">
        <v>0.8</v>
      </c>
      <c r="R92" s="273">
        <v>0</v>
      </c>
      <c r="S92" s="273"/>
      <c r="T92" s="273"/>
    </row>
    <row r="93" spans="1:20" x14ac:dyDescent="0.2">
      <c r="A93" s="271"/>
      <c r="B93" s="281" t="s">
        <v>226</v>
      </c>
      <c r="C93" s="273">
        <v>84</v>
      </c>
      <c r="D93" s="273">
        <v>84</v>
      </c>
      <c r="E93" s="273">
        <v>0</v>
      </c>
      <c r="F93" s="273">
        <v>0</v>
      </c>
      <c r="G93" s="273">
        <v>0</v>
      </c>
      <c r="H93" s="273">
        <v>0</v>
      </c>
      <c r="I93" s="278">
        <v>0.42</v>
      </c>
      <c r="J93" s="273">
        <v>0</v>
      </c>
      <c r="K93" s="273">
        <v>0</v>
      </c>
      <c r="L93" s="284">
        <v>0</v>
      </c>
      <c r="M93" s="273">
        <v>0</v>
      </c>
      <c r="N93" s="273">
        <v>0</v>
      </c>
      <c r="O93" s="273">
        <v>0</v>
      </c>
      <c r="P93" s="273">
        <v>0</v>
      </c>
      <c r="Q93" s="273">
        <v>0</v>
      </c>
      <c r="R93" s="273">
        <v>0</v>
      </c>
      <c r="S93" s="273"/>
      <c r="T93" s="273"/>
    </row>
    <row r="94" spans="1:20" x14ac:dyDescent="0.2">
      <c r="A94" s="271"/>
      <c r="B94" s="281" t="s">
        <v>236</v>
      </c>
      <c r="C94" s="273">
        <v>16</v>
      </c>
      <c r="D94" s="273">
        <v>16</v>
      </c>
      <c r="E94" s="273">
        <v>1.5</v>
      </c>
      <c r="F94" s="273">
        <v>0.13</v>
      </c>
      <c r="G94" s="273">
        <v>11.14</v>
      </c>
      <c r="H94" s="273">
        <v>54.08</v>
      </c>
      <c r="I94" s="278">
        <v>25</v>
      </c>
      <c r="J94" s="273">
        <v>0.4</v>
      </c>
      <c r="K94" s="273">
        <v>0.44</v>
      </c>
      <c r="L94" s="284">
        <v>2.8</v>
      </c>
      <c r="M94" s="273">
        <v>0</v>
      </c>
      <c r="N94" s="273">
        <v>0</v>
      </c>
      <c r="O94" s="273">
        <v>0</v>
      </c>
      <c r="P94" s="273">
        <v>0</v>
      </c>
      <c r="Q94" s="273">
        <v>0</v>
      </c>
      <c r="R94" s="273">
        <v>0</v>
      </c>
      <c r="S94" s="273"/>
      <c r="T94" s="273"/>
    </row>
    <row r="95" spans="1:20" x14ac:dyDescent="0.2">
      <c r="A95" s="271"/>
      <c r="B95" s="281" t="s">
        <v>237</v>
      </c>
      <c r="C95" s="273">
        <v>0.6</v>
      </c>
      <c r="D95" s="273">
        <v>0.6</v>
      </c>
      <c r="E95" s="273">
        <v>0</v>
      </c>
      <c r="F95" s="273">
        <v>0</v>
      </c>
      <c r="G95" s="273">
        <v>0</v>
      </c>
      <c r="H95" s="273">
        <v>0</v>
      </c>
      <c r="I95" s="278">
        <v>0</v>
      </c>
      <c r="J95" s="273">
        <v>0</v>
      </c>
      <c r="K95" s="273">
        <v>0</v>
      </c>
      <c r="L95" s="284">
        <v>0</v>
      </c>
      <c r="M95" s="273">
        <v>0</v>
      </c>
      <c r="N95" s="273">
        <v>0</v>
      </c>
      <c r="O95" s="273">
        <v>0</v>
      </c>
      <c r="P95" s="273">
        <v>0</v>
      </c>
      <c r="Q95" s="273">
        <v>0</v>
      </c>
      <c r="R95" s="273">
        <v>0</v>
      </c>
      <c r="S95" s="273"/>
      <c r="T95" s="273"/>
    </row>
    <row r="96" spans="1:20" x14ac:dyDescent="0.2">
      <c r="A96" s="271"/>
      <c r="B96" s="281" t="s">
        <v>227</v>
      </c>
      <c r="C96" s="273">
        <v>1.2</v>
      </c>
      <c r="D96" s="273">
        <v>1.2</v>
      </c>
      <c r="E96" s="273">
        <v>0</v>
      </c>
      <c r="F96" s="273">
        <v>0</v>
      </c>
      <c r="G96" s="273">
        <v>1.9</v>
      </c>
      <c r="H96" s="273">
        <v>4.54</v>
      </c>
      <c r="I96" s="273">
        <v>21.21</v>
      </c>
      <c r="J96" s="273">
        <v>0.03</v>
      </c>
      <c r="K96" s="273">
        <v>0</v>
      </c>
      <c r="L96" s="273">
        <v>0</v>
      </c>
      <c r="M96" s="273">
        <v>0</v>
      </c>
      <c r="N96" s="273">
        <v>0</v>
      </c>
      <c r="O96" s="273">
        <v>0</v>
      </c>
      <c r="P96" s="273">
        <v>0</v>
      </c>
      <c r="Q96" s="273">
        <v>0</v>
      </c>
      <c r="R96" s="273">
        <v>0</v>
      </c>
      <c r="S96" s="273"/>
      <c r="T96" s="273"/>
    </row>
    <row r="97" spans="1:20" ht="25.5" x14ac:dyDescent="0.2">
      <c r="A97" s="271"/>
      <c r="B97" s="281" t="s">
        <v>238</v>
      </c>
      <c r="C97" s="273">
        <v>1.6</v>
      </c>
      <c r="D97" s="273">
        <v>1.6</v>
      </c>
      <c r="E97" s="273">
        <v>0.01</v>
      </c>
      <c r="F97" s="273">
        <v>1.24</v>
      </c>
      <c r="G97" s="273">
        <v>0.01</v>
      </c>
      <c r="H97" s="273">
        <v>11.34</v>
      </c>
      <c r="I97" s="273">
        <v>173.85</v>
      </c>
      <c r="J97" s="273">
        <v>0.28000000000000003</v>
      </c>
      <c r="K97" s="273">
        <v>0</v>
      </c>
      <c r="L97" s="273">
        <v>0</v>
      </c>
      <c r="M97" s="273">
        <v>0</v>
      </c>
      <c r="N97" s="273">
        <v>0</v>
      </c>
      <c r="O97" s="273">
        <v>0</v>
      </c>
      <c r="P97" s="273">
        <v>0</v>
      </c>
      <c r="Q97" s="273">
        <v>0</v>
      </c>
      <c r="R97" s="273">
        <v>0</v>
      </c>
      <c r="S97" s="273"/>
      <c r="T97" s="273"/>
    </row>
    <row r="98" spans="1:20" s="268" customFormat="1" ht="28.5" customHeight="1" x14ac:dyDescent="0.2">
      <c r="A98" s="345" t="s">
        <v>175</v>
      </c>
      <c r="B98" s="272" t="s">
        <v>220</v>
      </c>
      <c r="C98" s="298" t="s">
        <v>177</v>
      </c>
      <c r="D98" s="298"/>
      <c r="E98" s="298">
        <v>0.1</v>
      </c>
      <c r="F98" s="298">
        <v>0</v>
      </c>
      <c r="G98" s="298">
        <v>15.2</v>
      </c>
      <c r="H98" s="298">
        <v>60</v>
      </c>
      <c r="I98" s="298">
        <v>24.3</v>
      </c>
      <c r="J98" s="298">
        <v>5.7</v>
      </c>
      <c r="K98" s="298">
        <v>3</v>
      </c>
      <c r="L98" s="298">
        <v>5.6</v>
      </c>
      <c r="M98" s="298">
        <v>0.4</v>
      </c>
      <c r="N98" s="298">
        <v>0</v>
      </c>
      <c r="O98" s="298">
        <v>0</v>
      </c>
      <c r="P98" s="298">
        <v>0</v>
      </c>
      <c r="Q98" s="298">
        <v>0</v>
      </c>
      <c r="R98" s="298">
        <v>2.8</v>
      </c>
      <c r="S98" s="298"/>
      <c r="T98" s="298"/>
    </row>
    <row r="99" spans="1:20" x14ac:dyDescent="0.2">
      <c r="A99" s="329"/>
      <c r="B99" s="273" t="s">
        <v>178</v>
      </c>
      <c r="C99" s="273">
        <v>50</v>
      </c>
      <c r="D99" s="273">
        <v>50</v>
      </c>
      <c r="E99" s="273">
        <v>0.1</v>
      </c>
      <c r="F99" s="273">
        <v>0</v>
      </c>
      <c r="G99" s="273">
        <v>0</v>
      </c>
      <c r="H99" s="273">
        <v>0.8</v>
      </c>
      <c r="I99" s="273">
        <v>12.4</v>
      </c>
      <c r="J99" s="273">
        <v>2.5</v>
      </c>
      <c r="K99" s="273">
        <v>2.2000000000000002</v>
      </c>
      <c r="L99" s="273">
        <v>4.0999999999999996</v>
      </c>
      <c r="M99" s="273">
        <v>0.4</v>
      </c>
      <c r="N99" s="273">
        <v>0</v>
      </c>
      <c r="O99" s="273">
        <v>0</v>
      </c>
      <c r="P99" s="273">
        <v>0</v>
      </c>
      <c r="Q99" s="273">
        <v>0</v>
      </c>
      <c r="R99" s="273">
        <v>0</v>
      </c>
      <c r="S99" s="273"/>
      <c r="T99" s="273"/>
    </row>
    <row r="100" spans="1:20" x14ac:dyDescent="0.2">
      <c r="A100" s="273"/>
      <c r="B100" s="273" t="s">
        <v>30</v>
      </c>
      <c r="C100" s="273">
        <v>15</v>
      </c>
      <c r="D100" s="273">
        <v>15</v>
      </c>
      <c r="E100" s="273">
        <v>0</v>
      </c>
      <c r="F100" s="273">
        <v>0</v>
      </c>
      <c r="G100" s="273">
        <v>15</v>
      </c>
      <c r="H100" s="273">
        <v>56.8</v>
      </c>
      <c r="I100" s="273">
        <v>0.5</v>
      </c>
      <c r="J100" s="273">
        <v>0.4</v>
      </c>
      <c r="K100" s="273">
        <v>0</v>
      </c>
      <c r="L100" s="273">
        <v>0</v>
      </c>
      <c r="M100" s="273">
        <v>0</v>
      </c>
      <c r="N100" s="273">
        <v>0</v>
      </c>
      <c r="O100" s="273">
        <v>0</v>
      </c>
      <c r="P100" s="273">
        <v>0</v>
      </c>
      <c r="Q100" s="273">
        <v>0</v>
      </c>
      <c r="R100" s="273">
        <v>0</v>
      </c>
      <c r="S100" s="273"/>
      <c r="T100" s="273"/>
    </row>
    <row r="101" spans="1:20" x14ac:dyDescent="0.2">
      <c r="A101" s="273"/>
      <c r="B101" s="273" t="s">
        <v>179</v>
      </c>
      <c r="C101" s="273">
        <v>8</v>
      </c>
      <c r="D101" s="273">
        <v>7</v>
      </c>
      <c r="E101" s="273">
        <v>0</v>
      </c>
      <c r="F101" s="273">
        <v>0</v>
      </c>
      <c r="G101" s="273">
        <v>0.2</v>
      </c>
      <c r="H101" s="273">
        <v>2.4</v>
      </c>
      <c r="I101" s="273">
        <v>11.4</v>
      </c>
      <c r="J101" s="273">
        <v>2.8</v>
      </c>
      <c r="K101" s="273">
        <v>0.8</v>
      </c>
      <c r="L101" s="273">
        <v>1.5</v>
      </c>
      <c r="M101" s="273">
        <v>0</v>
      </c>
      <c r="N101" s="273">
        <v>0</v>
      </c>
      <c r="O101" s="273">
        <v>0</v>
      </c>
      <c r="P101" s="273">
        <v>0</v>
      </c>
      <c r="Q101" s="273">
        <v>0</v>
      </c>
      <c r="R101" s="273">
        <v>2.8</v>
      </c>
      <c r="S101" s="273"/>
      <c r="T101" s="273"/>
    </row>
    <row r="102" spans="1:20" x14ac:dyDescent="0.2">
      <c r="A102" s="273"/>
      <c r="B102" s="273" t="s">
        <v>35</v>
      </c>
      <c r="C102" s="273">
        <v>150</v>
      </c>
      <c r="D102" s="273">
        <v>150</v>
      </c>
      <c r="E102" s="273">
        <v>0</v>
      </c>
      <c r="F102" s="273">
        <v>0</v>
      </c>
      <c r="G102" s="273">
        <v>0</v>
      </c>
      <c r="H102" s="273">
        <v>0</v>
      </c>
      <c r="I102" s="273">
        <v>0</v>
      </c>
      <c r="J102" s="273">
        <v>0</v>
      </c>
      <c r="K102" s="273">
        <v>0</v>
      </c>
      <c r="L102" s="273">
        <v>0</v>
      </c>
      <c r="M102" s="273">
        <v>0</v>
      </c>
      <c r="N102" s="273">
        <v>0</v>
      </c>
      <c r="O102" s="273">
        <v>0</v>
      </c>
      <c r="P102" s="273">
        <v>0</v>
      </c>
      <c r="Q102" s="273">
        <v>0</v>
      </c>
      <c r="R102" s="273">
        <v>0</v>
      </c>
      <c r="S102" s="273"/>
      <c r="T102" s="273"/>
    </row>
    <row r="103" spans="1:20" s="269" customFormat="1" x14ac:dyDescent="0.2">
      <c r="A103" s="272"/>
      <c r="B103" s="272" t="s">
        <v>211</v>
      </c>
      <c r="C103" s="272"/>
      <c r="D103" s="272"/>
      <c r="E103" s="272">
        <f>E98+E91</f>
        <v>4.4099999999999993</v>
      </c>
      <c r="F103" s="272">
        <f t="shared" ref="F103:Q103" si="10">F98+F91</f>
        <v>4.57</v>
      </c>
      <c r="G103" s="272">
        <f t="shared" si="10"/>
        <v>32.5</v>
      </c>
      <c r="H103" s="272">
        <f t="shared" si="10"/>
        <v>187.9</v>
      </c>
      <c r="I103" s="272">
        <f t="shared" si="10"/>
        <v>146.30000000000001</v>
      </c>
      <c r="J103" s="272">
        <f t="shared" si="10"/>
        <v>25.599999999999998</v>
      </c>
      <c r="K103" s="272">
        <f t="shared" si="10"/>
        <v>33.14</v>
      </c>
      <c r="L103" s="272">
        <f t="shared" si="10"/>
        <v>85.899999999999991</v>
      </c>
      <c r="M103" s="272">
        <f t="shared" si="10"/>
        <v>1.7999999999999998</v>
      </c>
      <c r="N103" s="272">
        <f t="shared" si="10"/>
        <v>0</v>
      </c>
      <c r="O103" s="272">
        <f t="shared" si="10"/>
        <v>0.1</v>
      </c>
      <c r="P103" s="272">
        <f t="shared" si="10"/>
        <v>0</v>
      </c>
      <c r="Q103" s="272">
        <f t="shared" si="10"/>
        <v>0.8</v>
      </c>
      <c r="R103" s="272">
        <f>R98+R91</f>
        <v>2.94</v>
      </c>
      <c r="S103" s="272"/>
      <c r="T103" s="272"/>
    </row>
    <row r="104" spans="1:20" x14ac:dyDescent="0.2">
      <c r="A104" s="271"/>
      <c r="B104" s="277" t="s">
        <v>60</v>
      </c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</row>
    <row r="105" spans="1:20" ht="29.25" customHeight="1" x14ac:dyDescent="0.2">
      <c r="A105" s="286" t="s">
        <v>212</v>
      </c>
      <c r="B105" s="292" t="s">
        <v>213</v>
      </c>
      <c r="C105" s="296" t="s">
        <v>214</v>
      </c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153"/>
      <c r="O105" s="42"/>
      <c r="P105" s="42"/>
      <c r="Q105" s="42"/>
      <c r="R105" s="42"/>
      <c r="S105" s="42"/>
      <c r="T105" s="42"/>
    </row>
    <row r="106" spans="1:20" ht="16.5" customHeight="1" x14ac:dyDescent="0.2">
      <c r="A106" s="286"/>
      <c r="B106" s="295" t="s">
        <v>215</v>
      </c>
      <c r="C106" s="296">
        <v>94</v>
      </c>
      <c r="D106" s="296">
        <v>92</v>
      </c>
      <c r="E106" s="296">
        <v>23</v>
      </c>
      <c r="F106" s="296">
        <v>12.4</v>
      </c>
      <c r="G106" s="296">
        <v>2.76</v>
      </c>
      <c r="H106" s="296">
        <v>214.3</v>
      </c>
      <c r="I106" s="296">
        <v>154.6</v>
      </c>
      <c r="J106" s="296">
        <v>226.3</v>
      </c>
      <c r="K106" s="296">
        <v>31.74</v>
      </c>
      <c r="L106" s="296">
        <v>303.60000000000002</v>
      </c>
      <c r="M106" s="296">
        <v>0.55000000000000004</v>
      </c>
      <c r="N106" s="296">
        <v>0.11</v>
      </c>
      <c r="O106" s="296">
        <v>0</v>
      </c>
      <c r="P106" s="296">
        <v>0.41</v>
      </c>
      <c r="Q106" s="296">
        <v>0.55000000000000004</v>
      </c>
      <c r="R106" s="296">
        <v>0.69</v>
      </c>
      <c r="S106" s="296"/>
      <c r="T106" s="296"/>
    </row>
    <row r="107" spans="1:20" x14ac:dyDescent="0.2">
      <c r="A107" s="286"/>
      <c r="B107" s="295" t="s">
        <v>216</v>
      </c>
      <c r="C107" s="296">
        <v>6</v>
      </c>
      <c r="D107" s="296">
        <v>6</v>
      </c>
      <c r="E107" s="296">
        <v>0.93</v>
      </c>
      <c r="F107" s="296">
        <v>0</v>
      </c>
      <c r="G107" s="296">
        <v>6.11</v>
      </c>
      <c r="H107" s="296">
        <v>29.52</v>
      </c>
      <c r="I107" s="296">
        <v>10.8</v>
      </c>
      <c r="J107" s="296">
        <v>1.8</v>
      </c>
      <c r="K107" s="296">
        <v>2.7</v>
      </c>
      <c r="L107" s="296">
        <v>7.56</v>
      </c>
      <c r="M107" s="296">
        <v>0.2</v>
      </c>
      <c r="N107" s="296">
        <v>0</v>
      </c>
      <c r="O107" s="296">
        <v>0</v>
      </c>
      <c r="P107" s="296">
        <v>0</v>
      </c>
      <c r="Q107" s="296">
        <v>0</v>
      </c>
      <c r="R107" s="296">
        <v>0</v>
      </c>
      <c r="S107" s="296"/>
      <c r="T107" s="296"/>
    </row>
    <row r="108" spans="1:20" x14ac:dyDescent="0.2">
      <c r="A108" s="286"/>
      <c r="B108" s="295" t="s">
        <v>30</v>
      </c>
      <c r="C108" s="296">
        <v>8</v>
      </c>
      <c r="D108" s="296">
        <v>8</v>
      </c>
      <c r="E108" s="296">
        <v>0</v>
      </c>
      <c r="F108" s="296">
        <v>0</v>
      </c>
      <c r="G108" s="296">
        <v>12</v>
      </c>
      <c r="H108" s="296">
        <v>45.5</v>
      </c>
      <c r="I108" s="296">
        <v>0.36</v>
      </c>
      <c r="J108" s="296">
        <v>0.35</v>
      </c>
      <c r="K108" s="296">
        <v>0</v>
      </c>
      <c r="L108" s="296">
        <v>0</v>
      </c>
      <c r="M108" s="296">
        <v>0</v>
      </c>
      <c r="N108" s="296">
        <v>0</v>
      </c>
      <c r="O108" s="296">
        <v>0</v>
      </c>
      <c r="P108" s="296">
        <v>0</v>
      </c>
      <c r="Q108" s="296">
        <v>0</v>
      </c>
      <c r="R108" s="296">
        <v>0</v>
      </c>
      <c r="S108" s="296"/>
      <c r="T108" s="296"/>
    </row>
    <row r="109" spans="1:20" x14ac:dyDescent="0.2">
      <c r="A109" s="286"/>
      <c r="B109" s="295" t="s">
        <v>46</v>
      </c>
      <c r="C109" s="296">
        <v>1</v>
      </c>
      <c r="D109" s="296">
        <v>1</v>
      </c>
      <c r="E109" s="296">
        <v>0</v>
      </c>
      <c r="F109" s="296">
        <v>0</v>
      </c>
      <c r="G109" s="296">
        <v>0</v>
      </c>
      <c r="H109" s="296">
        <v>0</v>
      </c>
      <c r="I109" s="296">
        <v>0</v>
      </c>
      <c r="J109" s="296">
        <v>0</v>
      </c>
      <c r="K109" s="296">
        <v>0</v>
      </c>
      <c r="L109" s="296">
        <v>0</v>
      </c>
      <c r="M109" s="296">
        <v>0</v>
      </c>
      <c r="N109" s="296">
        <v>0</v>
      </c>
      <c r="O109" s="296">
        <v>0</v>
      </c>
      <c r="P109" s="296">
        <v>0</v>
      </c>
      <c r="Q109" s="296">
        <v>0</v>
      </c>
      <c r="R109" s="296">
        <v>0</v>
      </c>
      <c r="S109" s="296"/>
      <c r="T109" s="296"/>
    </row>
    <row r="110" spans="1:20" x14ac:dyDescent="0.2">
      <c r="A110" s="286"/>
      <c r="B110" s="295" t="s">
        <v>217</v>
      </c>
      <c r="C110" s="296">
        <v>4</v>
      </c>
      <c r="D110" s="296">
        <v>4</v>
      </c>
      <c r="E110" s="296">
        <v>0.76</v>
      </c>
      <c r="F110" s="296">
        <v>0.69</v>
      </c>
      <c r="G110" s="296">
        <v>0</v>
      </c>
      <c r="H110" s="296">
        <v>9.42</v>
      </c>
      <c r="I110" s="296">
        <v>8.4</v>
      </c>
      <c r="J110" s="296">
        <v>3.3</v>
      </c>
      <c r="K110" s="296">
        <v>0.72</v>
      </c>
      <c r="L110" s="296">
        <v>11.52</v>
      </c>
      <c r="M110" s="296">
        <v>0.15</v>
      </c>
      <c r="N110" s="296">
        <v>0</v>
      </c>
      <c r="O110" s="296">
        <v>0</v>
      </c>
      <c r="P110" s="296">
        <v>0</v>
      </c>
      <c r="Q110" s="296">
        <v>0</v>
      </c>
      <c r="R110" s="296">
        <v>0</v>
      </c>
      <c r="S110" s="296"/>
      <c r="T110" s="296"/>
    </row>
    <row r="111" spans="1:20" ht="25.5" x14ac:dyDescent="0.2">
      <c r="A111" s="286"/>
      <c r="B111" s="295" t="s">
        <v>37</v>
      </c>
      <c r="C111" s="296">
        <v>4</v>
      </c>
      <c r="D111" s="296">
        <v>4</v>
      </c>
      <c r="E111" s="296">
        <v>0</v>
      </c>
      <c r="F111" s="296">
        <v>4.3499999999999996</v>
      </c>
      <c r="G111" s="296">
        <v>0</v>
      </c>
      <c r="H111" s="296">
        <v>39.700000000000003</v>
      </c>
      <c r="I111" s="296">
        <v>1.38</v>
      </c>
      <c r="J111" s="296">
        <v>1.36</v>
      </c>
      <c r="K111" s="296">
        <v>0.18</v>
      </c>
      <c r="L111" s="296">
        <v>1.1399999999999999</v>
      </c>
      <c r="M111" s="296">
        <v>0</v>
      </c>
      <c r="N111" s="296">
        <v>0</v>
      </c>
      <c r="O111" s="296">
        <v>0</v>
      </c>
      <c r="P111" s="296">
        <v>0</v>
      </c>
      <c r="Q111" s="296">
        <v>0</v>
      </c>
      <c r="R111" s="296">
        <v>0</v>
      </c>
      <c r="S111" s="296"/>
      <c r="T111" s="296"/>
    </row>
    <row r="112" spans="1:20" x14ac:dyDescent="0.2">
      <c r="A112" s="286"/>
      <c r="B112" s="295" t="s">
        <v>104</v>
      </c>
      <c r="C112" s="296">
        <v>4</v>
      </c>
      <c r="D112" s="296">
        <v>4</v>
      </c>
      <c r="E112" s="296">
        <v>0.46</v>
      </c>
      <c r="F112" s="296">
        <v>0.18</v>
      </c>
      <c r="G112" s="296">
        <v>3</v>
      </c>
      <c r="H112" s="296">
        <v>15.72</v>
      </c>
      <c r="I112" s="296">
        <v>7.62</v>
      </c>
      <c r="J112" s="296">
        <v>1.56</v>
      </c>
      <c r="K112" s="296">
        <v>2.1</v>
      </c>
      <c r="L112" s="296">
        <v>5</v>
      </c>
      <c r="M112" s="296">
        <v>0.1</v>
      </c>
      <c r="N112" s="296">
        <v>0</v>
      </c>
      <c r="O112" s="296">
        <v>0</v>
      </c>
      <c r="P112" s="296">
        <v>0</v>
      </c>
      <c r="Q112" s="296">
        <v>0.1</v>
      </c>
      <c r="R112" s="296">
        <v>0</v>
      </c>
      <c r="S112" s="296"/>
      <c r="T112" s="296"/>
    </row>
    <row r="113" spans="1:20" x14ac:dyDescent="0.2">
      <c r="A113" s="286"/>
      <c r="B113" s="295" t="s">
        <v>218</v>
      </c>
      <c r="C113" s="296">
        <v>4</v>
      </c>
      <c r="D113" s="296">
        <v>4</v>
      </c>
      <c r="E113" s="296">
        <v>0.15</v>
      </c>
      <c r="F113" s="296">
        <v>0.9</v>
      </c>
      <c r="G113" s="296">
        <v>0.2</v>
      </c>
      <c r="H113" s="296">
        <v>12.36</v>
      </c>
      <c r="I113" s="296">
        <v>6.54</v>
      </c>
      <c r="J113" s="296">
        <v>5.16</v>
      </c>
      <c r="K113" s="296">
        <v>0.48</v>
      </c>
      <c r="L113" s="296">
        <v>3.6</v>
      </c>
      <c r="M113" s="296">
        <v>0</v>
      </c>
      <c r="N113" s="296">
        <v>0</v>
      </c>
      <c r="O113" s="296">
        <v>0</v>
      </c>
      <c r="P113" s="296">
        <v>0</v>
      </c>
      <c r="Q113" s="296">
        <v>0</v>
      </c>
      <c r="R113" s="296">
        <v>0</v>
      </c>
      <c r="S113" s="296"/>
      <c r="T113" s="296"/>
    </row>
    <row r="114" spans="1:20" x14ac:dyDescent="0.2">
      <c r="A114" s="286"/>
      <c r="B114" s="295" t="s">
        <v>219</v>
      </c>
      <c r="C114" s="296">
        <v>40</v>
      </c>
      <c r="D114" s="296">
        <v>40</v>
      </c>
      <c r="E114" s="296">
        <v>2.84</v>
      </c>
      <c r="F114" s="296">
        <v>2</v>
      </c>
      <c r="G114" s="296">
        <v>22</v>
      </c>
      <c r="H114" s="296">
        <v>118</v>
      </c>
      <c r="I114" s="296">
        <v>152</v>
      </c>
      <c r="J114" s="296">
        <v>126.8</v>
      </c>
      <c r="K114" s="296">
        <v>13.6</v>
      </c>
      <c r="L114" s="296">
        <v>91.6</v>
      </c>
      <c r="M114" s="296">
        <v>0.08</v>
      </c>
      <c r="N114" s="296">
        <v>0.01</v>
      </c>
      <c r="O114" s="296">
        <v>2.4E-2</v>
      </c>
      <c r="P114" s="296">
        <v>0.08</v>
      </c>
      <c r="Q114" s="296">
        <v>8.0000000000000002E-3</v>
      </c>
      <c r="R114" s="296">
        <v>0.4</v>
      </c>
      <c r="S114" s="296"/>
      <c r="T114" s="296"/>
    </row>
    <row r="115" spans="1:20" x14ac:dyDescent="0.2">
      <c r="A115" s="286"/>
      <c r="B115" s="295" t="s">
        <v>77</v>
      </c>
      <c r="C115" s="296"/>
      <c r="D115" s="296"/>
      <c r="E115" s="296">
        <v>28.14</v>
      </c>
      <c r="F115" s="296">
        <v>20.52</v>
      </c>
      <c r="G115" s="296">
        <v>46.15</v>
      </c>
      <c r="H115" s="296">
        <v>484.52</v>
      </c>
      <c r="I115" s="296">
        <v>341.7</v>
      </c>
      <c r="J115" s="296">
        <v>366.63</v>
      </c>
      <c r="K115" s="296">
        <v>51.52</v>
      </c>
      <c r="L115" s="296">
        <v>424.02</v>
      </c>
      <c r="M115" s="296">
        <v>1.08</v>
      </c>
      <c r="N115" s="296">
        <v>0.12</v>
      </c>
      <c r="O115" s="296">
        <v>2.4E-2</v>
      </c>
      <c r="P115" s="296">
        <v>0.49</v>
      </c>
      <c r="Q115" s="296">
        <v>0.65800000000000003</v>
      </c>
      <c r="R115" s="296">
        <v>1.0900000000000001</v>
      </c>
      <c r="S115" s="296"/>
      <c r="T115" s="296"/>
    </row>
    <row r="116" spans="1:20" ht="12.75" customHeight="1" x14ac:dyDescent="0.2">
      <c r="A116" s="271" t="s">
        <v>73</v>
      </c>
      <c r="B116" s="274" t="s">
        <v>74</v>
      </c>
      <c r="C116" s="330" t="s">
        <v>75</v>
      </c>
      <c r="D116" s="331"/>
      <c r="E116" s="272">
        <v>0.1</v>
      </c>
      <c r="F116" s="272">
        <v>0</v>
      </c>
      <c r="G116" s="272">
        <v>15</v>
      </c>
      <c r="H116" s="272">
        <v>57.7</v>
      </c>
      <c r="I116" s="289">
        <v>12.9</v>
      </c>
      <c r="J116" s="272">
        <v>2.9</v>
      </c>
      <c r="K116" s="272">
        <v>2.2000000000000002</v>
      </c>
      <c r="L116" s="289">
        <v>4.12</v>
      </c>
      <c r="M116" s="272">
        <v>0.4</v>
      </c>
      <c r="N116" s="272">
        <v>0</v>
      </c>
      <c r="O116" s="272">
        <v>0</v>
      </c>
      <c r="P116" s="272">
        <v>0</v>
      </c>
      <c r="Q116" s="272">
        <v>0</v>
      </c>
      <c r="R116" s="272">
        <v>0</v>
      </c>
      <c r="S116" s="272"/>
      <c r="T116" s="272"/>
    </row>
    <row r="117" spans="1:20" x14ac:dyDescent="0.2">
      <c r="A117" s="271"/>
      <c r="B117" s="281" t="s">
        <v>40</v>
      </c>
      <c r="C117" s="282">
        <v>50</v>
      </c>
      <c r="D117" s="282">
        <v>50</v>
      </c>
      <c r="E117" s="273">
        <v>0.1</v>
      </c>
      <c r="F117" s="273">
        <v>0</v>
      </c>
      <c r="G117" s="273">
        <v>0</v>
      </c>
      <c r="H117" s="273">
        <v>0.8</v>
      </c>
      <c r="I117" s="284">
        <v>12.4</v>
      </c>
      <c r="J117" s="273">
        <v>2.5</v>
      </c>
      <c r="K117" s="273">
        <v>2.2000000000000002</v>
      </c>
      <c r="L117" s="284">
        <v>4.12</v>
      </c>
      <c r="M117" s="273">
        <v>0.4</v>
      </c>
      <c r="N117" s="273">
        <v>0</v>
      </c>
      <c r="O117" s="273">
        <v>0</v>
      </c>
      <c r="P117" s="273">
        <v>0</v>
      </c>
      <c r="Q117" s="273">
        <v>0</v>
      </c>
      <c r="R117" s="273">
        <v>0</v>
      </c>
      <c r="S117" s="273"/>
      <c r="T117" s="273"/>
    </row>
    <row r="118" spans="1:20" x14ac:dyDescent="0.2">
      <c r="A118" s="271"/>
      <c r="B118" s="281" t="s">
        <v>30</v>
      </c>
      <c r="C118" s="282">
        <v>15</v>
      </c>
      <c r="D118" s="282">
        <v>15</v>
      </c>
      <c r="E118" s="273">
        <v>0</v>
      </c>
      <c r="F118" s="273">
        <v>0</v>
      </c>
      <c r="G118" s="273">
        <v>15</v>
      </c>
      <c r="H118" s="273">
        <v>56.9</v>
      </c>
      <c r="I118" s="284">
        <v>0.5</v>
      </c>
      <c r="J118" s="273">
        <v>0.4</v>
      </c>
      <c r="K118" s="273">
        <v>0</v>
      </c>
      <c r="L118" s="284">
        <v>0</v>
      </c>
      <c r="M118" s="273">
        <v>0</v>
      </c>
      <c r="N118" s="273">
        <v>0</v>
      </c>
      <c r="O118" s="273">
        <v>0</v>
      </c>
      <c r="P118" s="273">
        <v>0</v>
      </c>
      <c r="Q118" s="273">
        <v>0</v>
      </c>
      <c r="R118" s="273">
        <v>0</v>
      </c>
      <c r="S118" s="273"/>
      <c r="T118" s="273"/>
    </row>
    <row r="119" spans="1:20" x14ac:dyDescent="0.2">
      <c r="A119" s="279"/>
      <c r="B119" s="281" t="s">
        <v>35</v>
      </c>
      <c r="C119" s="282">
        <v>150</v>
      </c>
      <c r="D119" s="282">
        <v>150</v>
      </c>
      <c r="E119" s="273">
        <v>0</v>
      </c>
      <c r="F119" s="273">
        <v>0</v>
      </c>
      <c r="G119" s="273">
        <v>0</v>
      </c>
      <c r="H119" s="273">
        <v>0</v>
      </c>
      <c r="I119" s="273">
        <v>0</v>
      </c>
      <c r="J119" s="273">
        <v>0</v>
      </c>
      <c r="K119" s="273">
        <v>0</v>
      </c>
      <c r="L119" s="273">
        <v>0</v>
      </c>
      <c r="M119" s="273">
        <v>0</v>
      </c>
      <c r="N119" s="273">
        <v>0</v>
      </c>
      <c r="O119" s="273">
        <v>0</v>
      </c>
      <c r="P119" s="273">
        <v>0</v>
      </c>
      <c r="Q119" s="273">
        <v>0</v>
      </c>
      <c r="R119" s="273">
        <v>0</v>
      </c>
      <c r="S119" s="273"/>
      <c r="T119" s="273"/>
    </row>
    <row r="120" spans="1:20" x14ac:dyDescent="0.2">
      <c r="A120" s="271"/>
      <c r="B120" s="272" t="s">
        <v>164</v>
      </c>
      <c r="C120" s="273"/>
      <c r="D120" s="273"/>
      <c r="E120" s="272">
        <f t="shared" ref="E120:R120" si="11">E108+E116</f>
        <v>0.1</v>
      </c>
      <c r="F120" s="272">
        <f t="shared" si="11"/>
        <v>0</v>
      </c>
      <c r="G120" s="272">
        <f t="shared" si="11"/>
        <v>27</v>
      </c>
      <c r="H120" s="272">
        <f t="shared" si="11"/>
        <v>103.2</v>
      </c>
      <c r="I120" s="272">
        <f t="shared" si="11"/>
        <v>13.26</v>
      </c>
      <c r="J120" s="272">
        <f t="shared" si="11"/>
        <v>3.25</v>
      </c>
      <c r="K120" s="272">
        <f t="shared" si="11"/>
        <v>2.2000000000000002</v>
      </c>
      <c r="L120" s="272">
        <f t="shared" si="11"/>
        <v>4.12</v>
      </c>
      <c r="M120" s="272">
        <f t="shared" si="11"/>
        <v>0.4</v>
      </c>
      <c r="N120" s="272">
        <f t="shared" si="11"/>
        <v>0</v>
      </c>
      <c r="O120" s="272">
        <f t="shared" si="11"/>
        <v>0</v>
      </c>
      <c r="P120" s="272">
        <f t="shared" si="11"/>
        <v>0</v>
      </c>
      <c r="Q120" s="272">
        <f t="shared" si="11"/>
        <v>0</v>
      </c>
      <c r="R120" s="272">
        <f t="shared" si="11"/>
        <v>0</v>
      </c>
      <c r="S120" s="272"/>
      <c r="T120" s="272"/>
    </row>
    <row r="121" spans="1:20" s="269" customFormat="1" hidden="1" x14ac:dyDescent="0.2">
      <c r="A121" s="272"/>
      <c r="B121" s="272" t="s">
        <v>211</v>
      </c>
      <c r="C121" s="272"/>
      <c r="D121" s="272"/>
      <c r="E121" s="272">
        <f t="shared" ref="E121:R121" si="12">E116+E105</f>
        <v>0.1</v>
      </c>
      <c r="F121" s="272">
        <f t="shared" si="12"/>
        <v>0</v>
      </c>
      <c r="G121" s="272">
        <f t="shared" si="12"/>
        <v>15</v>
      </c>
      <c r="H121" s="272">
        <f t="shared" si="12"/>
        <v>57.7</v>
      </c>
      <c r="I121" s="272">
        <f t="shared" si="12"/>
        <v>12.9</v>
      </c>
      <c r="J121" s="272">
        <f t="shared" si="12"/>
        <v>2.9</v>
      </c>
      <c r="K121" s="272">
        <f t="shared" si="12"/>
        <v>2.2000000000000002</v>
      </c>
      <c r="L121" s="272">
        <f t="shared" si="12"/>
        <v>4.12</v>
      </c>
      <c r="M121" s="272">
        <f t="shared" si="12"/>
        <v>0.4</v>
      </c>
      <c r="N121" s="272">
        <f t="shared" si="12"/>
        <v>0</v>
      </c>
      <c r="O121" s="272">
        <f t="shared" si="12"/>
        <v>0</v>
      </c>
      <c r="P121" s="272">
        <f t="shared" si="12"/>
        <v>0</v>
      </c>
      <c r="Q121" s="272">
        <f t="shared" si="12"/>
        <v>0</v>
      </c>
      <c r="R121" s="272">
        <f t="shared" si="12"/>
        <v>0</v>
      </c>
      <c r="S121" s="272"/>
      <c r="T121" s="272"/>
    </row>
    <row r="122" spans="1:20" x14ac:dyDescent="0.2">
      <c r="A122" s="291"/>
      <c r="B122" s="277" t="s">
        <v>61</v>
      </c>
      <c r="C122" s="273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</row>
    <row r="123" spans="1:20" x14ac:dyDescent="0.2">
      <c r="A123" s="311" t="s">
        <v>239</v>
      </c>
      <c r="B123" s="274" t="s">
        <v>240</v>
      </c>
      <c r="C123" s="273"/>
      <c r="D123" s="272">
        <v>40</v>
      </c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2"/>
    </row>
    <row r="124" spans="1:20" ht="15.75" customHeight="1" x14ac:dyDescent="0.2">
      <c r="A124" s="311" t="s">
        <v>138</v>
      </c>
      <c r="B124" s="281" t="s">
        <v>238</v>
      </c>
      <c r="C124" s="273">
        <v>10</v>
      </c>
      <c r="D124" s="273">
        <v>10</v>
      </c>
      <c r="E124" s="296">
        <v>0</v>
      </c>
      <c r="F124" s="296">
        <v>4.3499999999999996</v>
      </c>
      <c r="G124" s="296">
        <v>0</v>
      </c>
      <c r="H124" s="296">
        <v>39.700000000000003</v>
      </c>
      <c r="I124" s="296">
        <v>1.38</v>
      </c>
      <c r="J124" s="296">
        <v>1.36</v>
      </c>
      <c r="K124" s="296">
        <v>0.18</v>
      </c>
      <c r="L124" s="296">
        <v>1.1399999999999999</v>
      </c>
      <c r="M124" s="273">
        <v>0</v>
      </c>
      <c r="N124" s="273">
        <v>0</v>
      </c>
      <c r="O124" s="273">
        <v>0</v>
      </c>
      <c r="P124" s="273">
        <v>0</v>
      </c>
      <c r="Q124" s="273">
        <v>0</v>
      </c>
      <c r="R124" s="273">
        <v>0</v>
      </c>
      <c r="S124" s="273"/>
      <c r="T124" s="273"/>
    </row>
    <row r="125" spans="1:20" x14ac:dyDescent="0.2">
      <c r="A125" s="271"/>
      <c r="B125" s="281" t="s">
        <v>81</v>
      </c>
      <c r="C125" s="273">
        <v>30</v>
      </c>
      <c r="D125" s="273">
        <v>30</v>
      </c>
      <c r="E125" s="273">
        <v>4.37</v>
      </c>
      <c r="F125" s="273">
        <v>0.38</v>
      </c>
      <c r="G125" s="284">
        <v>31.2</v>
      </c>
      <c r="H125" s="284">
        <v>137.30000000000001</v>
      </c>
      <c r="I125" s="273">
        <v>75.7</v>
      </c>
      <c r="J125" s="273">
        <v>10.3</v>
      </c>
      <c r="K125" s="273">
        <v>19</v>
      </c>
      <c r="L125" s="273">
        <v>49.5</v>
      </c>
      <c r="M125" s="273">
        <v>0.9</v>
      </c>
      <c r="N125" s="273">
        <v>0</v>
      </c>
      <c r="O125" s="273">
        <v>0</v>
      </c>
      <c r="P125" s="273">
        <v>0</v>
      </c>
      <c r="Q125" s="273">
        <v>0.52</v>
      </c>
      <c r="R125" s="273">
        <v>0</v>
      </c>
      <c r="S125" s="273"/>
      <c r="T125" s="273"/>
    </row>
    <row r="126" spans="1:20" x14ac:dyDescent="0.2">
      <c r="A126" s="328" t="s">
        <v>201</v>
      </c>
      <c r="B126" s="272" t="s">
        <v>202</v>
      </c>
      <c r="C126" s="272"/>
      <c r="D126" s="272" t="s">
        <v>75</v>
      </c>
      <c r="E126" s="272">
        <v>1.5</v>
      </c>
      <c r="F126" s="272">
        <v>15.1</v>
      </c>
      <c r="G126" s="272">
        <v>17.350000000000001</v>
      </c>
      <c r="H126" s="272">
        <v>86.6</v>
      </c>
      <c r="I126" s="272">
        <v>85.9</v>
      </c>
      <c r="J126" s="272">
        <v>62.9</v>
      </c>
      <c r="K126" s="272">
        <v>9.1999999999999993</v>
      </c>
      <c r="L126" s="272">
        <v>49.1</v>
      </c>
      <c r="M126" s="272">
        <v>0.45</v>
      </c>
      <c r="N126" s="272">
        <v>0.01</v>
      </c>
      <c r="O126" s="272">
        <v>0.02</v>
      </c>
      <c r="P126" s="272">
        <v>0.35</v>
      </c>
      <c r="Q126" s="272">
        <v>0.05</v>
      </c>
      <c r="R126" s="272">
        <v>0.8</v>
      </c>
      <c r="S126" s="272"/>
      <c r="T126" s="272"/>
    </row>
    <row r="127" spans="1:20" ht="15.75" customHeight="1" x14ac:dyDescent="0.2">
      <c r="A127" s="329"/>
      <c r="B127" s="273" t="s">
        <v>178</v>
      </c>
      <c r="C127" s="273">
        <v>50</v>
      </c>
      <c r="D127" s="273">
        <v>50</v>
      </c>
      <c r="E127" s="273">
        <v>0.1</v>
      </c>
      <c r="F127" s="273">
        <v>0</v>
      </c>
      <c r="G127" s="273">
        <v>0</v>
      </c>
      <c r="H127" s="273">
        <v>0.8</v>
      </c>
      <c r="I127" s="273">
        <v>12.4</v>
      </c>
      <c r="J127" s="273">
        <v>2.5</v>
      </c>
      <c r="K127" s="273">
        <v>2.2000000000000002</v>
      </c>
      <c r="L127" s="273">
        <v>4.0999999999999996</v>
      </c>
      <c r="M127" s="273">
        <v>0.4</v>
      </c>
      <c r="N127" s="273">
        <v>0</v>
      </c>
      <c r="O127" s="273">
        <v>0</v>
      </c>
      <c r="P127" s="273">
        <v>0</v>
      </c>
      <c r="Q127" s="273">
        <v>0</v>
      </c>
      <c r="R127" s="273">
        <v>0</v>
      </c>
      <c r="S127" s="273"/>
      <c r="T127" s="273"/>
    </row>
    <row r="128" spans="1:20" x14ac:dyDescent="0.2">
      <c r="A128" s="273"/>
      <c r="B128" s="273" t="s">
        <v>30</v>
      </c>
      <c r="C128" s="273">
        <v>15</v>
      </c>
      <c r="D128" s="273">
        <v>15</v>
      </c>
      <c r="E128" s="273">
        <v>0</v>
      </c>
      <c r="F128" s="273">
        <v>0</v>
      </c>
      <c r="G128" s="273">
        <v>15</v>
      </c>
      <c r="H128" s="273">
        <v>56.8</v>
      </c>
      <c r="I128" s="273">
        <v>0.5</v>
      </c>
      <c r="J128" s="273">
        <v>0.4</v>
      </c>
      <c r="K128" s="273">
        <v>0</v>
      </c>
      <c r="L128" s="273">
        <v>0</v>
      </c>
      <c r="M128" s="273">
        <v>0</v>
      </c>
      <c r="N128" s="273">
        <v>0</v>
      </c>
      <c r="O128" s="273">
        <v>0</v>
      </c>
      <c r="P128" s="273">
        <v>0</v>
      </c>
      <c r="Q128" s="273">
        <v>0</v>
      </c>
      <c r="R128" s="273">
        <v>0</v>
      </c>
      <c r="S128" s="273"/>
      <c r="T128" s="273"/>
    </row>
    <row r="129" spans="1:20" x14ac:dyDescent="0.2">
      <c r="A129" s="273"/>
      <c r="B129" s="273" t="s">
        <v>29</v>
      </c>
      <c r="C129" s="273">
        <v>51</v>
      </c>
      <c r="D129" s="273">
        <v>50</v>
      </c>
      <c r="E129" s="273">
        <v>1.4</v>
      </c>
      <c r="F129" s="273">
        <v>15.1</v>
      </c>
      <c r="G129" s="273">
        <v>2.35</v>
      </c>
      <c r="H129" s="273">
        <v>29</v>
      </c>
      <c r="I129" s="273">
        <v>73</v>
      </c>
      <c r="J129" s="273">
        <v>60</v>
      </c>
      <c r="K129" s="273">
        <v>7</v>
      </c>
      <c r="L129" s="273">
        <v>45</v>
      </c>
      <c r="M129" s="273">
        <v>0.05</v>
      </c>
      <c r="N129" s="273">
        <v>0.01</v>
      </c>
      <c r="O129" s="273">
        <v>0.02</v>
      </c>
      <c r="P129" s="273">
        <v>0.35</v>
      </c>
      <c r="Q129" s="273">
        <v>0.05</v>
      </c>
      <c r="R129" s="273">
        <v>0.8</v>
      </c>
      <c r="S129" s="273"/>
      <c r="T129" s="273"/>
    </row>
    <row r="130" spans="1:20" x14ac:dyDescent="0.2">
      <c r="A130" s="273"/>
      <c r="B130" s="273" t="s">
        <v>35</v>
      </c>
      <c r="C130" s="273">
        <v>100</v>
      </c>
      <c r="D130" s="273">
        <v>100</v>
      </c>
      <c r="E130" s="273">
        <v>0</v>
      </c>
      <c r="F130" s="273">
        <v>0</v>
      </c>
      <c r="G130" s="273">
        <v>0</v>
      </c>
      <c r="H130" s="273">
        <v>0</v>
      </c>
      <c r="I130" s="273">
        <v>0</v>
      </c>
      <c r="J130" s="273">
        <v>0</v>
      </c>
      <c r="K130" s="273">
        <v>0</v>
      </c>
      <c r="L130" s="273">
        <v>0</v>
      </c>
      <c r="M130" s="273">
        <v>0</v>
      </c>
      <c r="N130" s="273">
        <v>0</v>
      </c>
      <c r="O130" s="273">
        <v>0</v>
      </c>
      <c r="P130" s="273">
        <v>0</v>
      </c>
      <c r="Q130" s="273">
        <v>0</v>
      </c>
      <c r="R130" s="273">
        <v>0</v>
      </c>
      <c r="S130" s="273"/>
      <c r="T130" s="273"/>
    </row>
    <row r="131" spans="1:20" x14ac:dyDescent="0.2">
      <c r="A131" s="273"/>
      <c r="B131" s="273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</row>
    <row r="132" spans="1:20" x14ac:dyDescent="0.2">
      <c r="A132" s="272"/>
      <c r="B132" s="272" t="s">
        <v>164</v>
      </c>
      <c r="C132" s="272"/>
      <c r="D132" s="272"/>
      <c r="E132" s="272">
        <f>E126+E118</f>
        <v>1.5</v>
      </c>
      <c r="F132" s="272">
        <f t="shared" ref="F132:Q132" si="13">F126+F118</f>
        <v>15.1</v>
      </c>
      <c r="G132" s="272">
        <f t="shared" si="13"/>
        <v>32.35</v>
      </c>
      <c r="H132" s="272">
        <f t="shared" si="13"/>
        <v>143.5</v>
      </c>
      <c r="I132" s="272">
        <f t="shared" si="13"/>
        <v>86.4</v>
      </c>
      <c r="J132" s="272">
        <f t="shared" si="13"/>
        <v>63.3</v>
      </c>
      <c r="K132" s="272">
        <f t="shared" si="13"/>
        <v>9.1999999999999993</v>
      </c>
      <c r="L132" s="272">
        <f t="shared" si="13"/>
        <v>49.1</v>
      </c>
      <c r="M132" s="272">
        <f t="shared" si="13"/>
        <v>0.45</v>
      </c>
      <c r="N132" s="272">
        <f t="shared" si="13"/>
        <v>0.01</v>
      </c>
      <c r="O132" s="272">
        <f t="shared" si="13"/>
        <v>0.02</v>
      </c>
      <c r="P132" s="272">
        <f t="shared" si="13"/>
        <v>0.35</v>
      </c>
      <c r="Q132" s="272">
        <f t="shared" si="13"/>
        <v>0.05</v>
      </c>
      <c r="R132" s="272">
        <f>R126+R118</f>
        <v>0.8</v>
      </c>
      <c r="S132" s="272"/>
      <c r="T132" s="272"/>
    </row>
    <row r="133" spans="1:20" hidden="1" x14ac:dyDescent="0.2">
      <c r="A133" s="279"/>
      <c r="B133" s="290" t="s">
        <v>174</v>
      </c>
      <c r="C133" s="273">
        <v>45.45</v>
      </c>
      <c r="D133" s="273">
        <v>45</v>
      </c>
      <c r="E133" s="273">
        <v>0.18</v>
      </c>
      <c r="F133" s="273">
        <v>0</v>
      </c>
      <c r="G133" s="273">
        <v>29.3</v>
      </c>
      <c r="H133" s="273">
        <v>112.5</v>
      </c>
      <c r="I133" s="273">
        <v>58</v>
      </c>
      <c r="J133" s="273">
        <v>6.3</v>
      </c>
      <c r="K133" s="273">
        <v>3.2</v>
      </c>
      <c r="L133" s="273">
        <v>4</v>
      </c>
      <c r="M133" s="273">
        <v>0.6</v>
      </c>
      <c r="N133" s="273">
        <v>0</v>
      </c>
      <c r="O133" s="273">
        <v>0</v>
      </c>
      <c r="P133" s="273">
        <v>0</v>
      </c>
      <c r="Q133" s="273">
        <v>0</v>
      </c>
      <c r="R133" s="273">
        <v>0.22</v>
      </c>
      <c r="S133" s="273"/>
      <c r="T133" s="273"/>
    </row>
    <row r="134" spans="1:20" s="26" customFormat="1" hidden="1" x14ac:dyDescent="0.2">
      <c r="A134" s="272"/>
      <c r="B134" s="299" t="s">
        <v>47</v>
      </c>
      <c r="C134" s="272"/>
      <c r="D134" s="272"/>
      <c r="E134" s="272">
        <f>SUM(E125:E133)</f>
        <v>9.0499999999999989</v>
      </c>
      <c r="F134" s="272">
        <f t="shared" ref="F134:Q134" si="14">SUM(F125:F133)</f>
        <v>45.68</v>
      </c>
      <c r="G134" s="272">
        <f t="shared" si="14"/>
        <v>127.55</v>
      </c>
      <c r="H134" s="272">
        <f t="shared" si="14"/>
        <v>566.5</v>
      </c>
      <c r="I134" s="272">
        <f t="shared" si="14"/>
        <v>391.90000000000003</v>
      </c>
      <c r="J134" s="272">
        <f t="shared" si="14"/>
        <v>205.70000000000005</v>
      </c>
      <c r="K134" s="272">
        <f t="shared" si="14"/>
        <v>49.8</v>
      </c>
      <c r="L134" s="272">
        <f t="shared" si="14"/>
        <v>200.79999999999998</v>
      </c>
      <c r="M134" s="272">
        <f t="shared" si="14"/>
        <v>2.85</v>
      </c>
      <c r="N134" s="272">
        <f t="shared" si="14"/>
        <v>0.03</v>
      </c>
      <c r="O134" s="272">
        <f t="shared" si="14"/>
        <v>0.06</v>
      </c>
      <c r="P134" s="272">
        <f t="shared" si="14"/>
        <v>1.0499999999999998</v>
      </c>
      <c r="Q134" s="272">
        <f t="shared" si="14"/>
        <v>0.67000000000000015</v>
      </c>
      <c r="R134" s="272">
        <f>SUM(R125:R133)</f>
        <v>2.6200000000000006</v>
      </c>
      <c r="S134" s="272"/>
      <c r="T134" s="272"/>
    </row>
    <row r="135" spans="1:20" s="26" customFormat="1" hidden="1" x14ac:dyDescent="0.2">
      <c r="A135" s="271" t="s">
        <v>24</v>
      </c>
      <c r="B135" s="274" t="s">
        <v>194</v>
      </c>
      <c r="C135" s="272">
        <v>200</v>
      </c>
      <c r="D135" s="272">
        <v>200</v>
      </c>
      <c r="E135" s="272">
        <v>0.86</v>
      </c>
      <c r="F135" s="272">
        <v>0</v>
      </c>
      <c r="G135" s="272">
        <v>28.7</v>
      </c>
      <c r="H135" s="272">
        <v>121.2</v>
      </c>
      <c r="I135" s="272">
        <v>100</v>
      </c>
      <c r="J135" s="272">
        <v>8</v>
      </c>
      <c r="K135" s="272">
        <v>5</v>
      </c>
      <c r="L135" s="272">
        <v>9</v>
      </c>
      <c r="M135" s="272">
        <v>0.2</v>
      </c>
      <c r="N135" s="272">
        <v>0</v>
      </c>
      <c r="O135" s="272">
        <v>0.01</v>
      </c>
      <c r="P135" s="272">
        <v>0.01</v>
      </c>
      <c r="Q135" s="272">
        <v>0.1</v>
      </c>
      <c r="R135" s="272">
        <v>2</v>
      </c>
      <c r="S135" s="272"/>
      <c r="T135" s="272"/>
    </row>
    <row r="136" spans="1:20" s="231" customFormat="1" hidden="1" x14ac:dyDescent="0.2">
      <c r="A136" s="291"/>
      <c r="B136" s="272" t="s">
        <v>164</v>
      </c>
      <c r="C136" s="273"/>
      <c r="D136" s="273"/>
      <c r="E136" s="272">
        <f>E134+E135</f>
        <v>9.9099999999999984</v>
      </c>
      <c r="F136" s="272">
        <f t="shared" ref="F136:Q136" si="15">F134+F135</f>
        <v>45.68</v>
      </c>
      <c r="G136" s="272">
        <f t="shared" si="15"/>
        <v>156.25</v>
      </c>
      <c r="H136" s="272">
        <f t="shared" si="15"/>
        <v>687.7</v>
      </c>
      <c r="I136" s="272">
        <f t="shared" si="15"/>
        <v>491.90000000000003</v>
      </c>
      <c r="J136" s="272">
        <f t="shared" si="15"/>
        <v>213.70000000000005</v>
      </c>
      <c r="K136" s="272">
        <f t="shared" si="15"/>
        <v>54.8</v>
      </c>
      <c r="L136" s="272">
        <f t="shared" si="15"/>
        <v>209.79999999999998</v>
      </c>
      <c r="M136" s="272">
        <f t="shared" si="15"/>
        <v>3.0500000000000003</v>
      </c>
      <c r="N136" s="272">
        <f t="shared" si="15"/>
        <v>0.03</v>
      </c>
      <c r="O136" s="272">
        <f t="shared" si="15"/>
        <v>6.9999999999999993E-2</v>
      </c>
      <c r="P136" s="272">
        <f t="shared" si="15"/>
        <v>1.0599999999999998</v>
      </c>
      <c r="Q136" s="272">
        <f t="shared" si="15"/>
        <v>0.77000000000000013</v>
      </c>
      <c r="R136" s="272">
        <f>R134+R135</f>
        <v>4.620000000000001</v>
      </c>
      <c r="S136" s="272"/>
      <c r="T136" s="272"/>
    </row>
    <row r="137" spans="1:20" x14ac:dyDescent="0.2">
      <c r="A137" s="291"/>
      <c r="B137" s="272"/>
      <c r="C137" s="273"/>
      <c r="D137" s="273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  <c r="S137" s="272"/>
      <c r="T137" s="272"/>
    </row>
    <row r="138" spans="1:20" x14ac:dyDescent="0.2">
      <c r="A138" s="291"/>
      <c r="B138" s="277" t="s">
        <v>63</v>
      </c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</row>
    <row r="139" spans="1:20" s="268" customFormat="1" ht="25.5" x14ac:dyDescent="0.2">
      <c r="A139" s="264" t="s">
        <v>165</v>
      </c>
      <c r="B139" s="28" t="s">
        <v>166</v>
      </c>
      <c r="C139" s="31"/>
      <c r="D139" s="29">
        <v>100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 ht="15.75" customHeight="1" x14ac:dyDescent="0.2">
      <c r="A140" s="264" t="s">
        <v>167</v>
      </c>
      <c r="B140" s="265" t="s">
        <v>168</v>
      </c>
      <c r="C140" s="31"/>
      <c r="D140" s="266">
        <v>64</v>
      </c>
      <c r="E140" s="31"/>
      <c r="F140" s="31"/>
      <c r="G140" s="33"/>
      <c r="H140" s="33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</row>
    <row r="141" spans="1:20" x14ac:dyDescent="0.2">
      <c r="A141" s="264"/>
      <c r="B141" s="30" t="s">
        <v>169</v>
      </c>
      <c r="C141" s="31">
        <v>42.9</v>
      </c>
      <c r="D141" s="31">
        <v>42.9</v>
      </c>
      <c r="E141" s="31">
        <v>4.37</v>
      </c>
      <c r="F141" s="31">
        <v>0.38</v>
      </c>
      <c r="G141" s="33">
        <v>31.2</v>
      </c>
      <c r="H141" s="33">
        <v>137.30000000000001</v>
      </c>
      <c r="I141" s="31">
        <v>75.7</v>
      </c>
      <c r="J141" s="31">
        <v>10.3</v>
      </c>
      <c r="K141" s="31">
        <v>19</v>
      </c>
      <c r="L141" s="31">
        <v>49.5</v>
      </c>
      <c r="M141" s="31">
        <v>0.9</v>
      </c>
      <c r="N141" s="31">
        <v>0</v>
      </c>
      <c r="O141" s="31">
        <v>0</v>
      </c>
      <c r="P141" s="31">
        <v>0</v>
      </c>
      <c r="Q141" s="31">
        <v>0.52</v>
      </c>
      <c r="R141" s="31">
        <v>0</v>
      </c>
      <c r="S141" s="31"/>
      <c r="T141" s="31"/>
    </row>
    <row r="142" spans="1:20" x14ac:dyDescent="0.2">
      <c r="A142" s="264"/>
      <c r="B142" s="30" t="s">
        <v>170</v>
      </c>
      <c r="C142" s="31">
        <v>6.4</v>
      </c>
      <c r="D142" s="31">
        <v>6.4</v>
      </c>
      <c r="E142" s="31">
        <v>0.8</v>
      </c>
      <c r="F142" s="31">
        <v>0.74</v>
      </c>
      <c r="G142" s="33">
        <v>0.04</v>
      </c>
      <c r="H142" s="33">
        <v>10</v>
      </c>
      <c r="I142" s="31">
        <v>9</v>
      </c>
      <c r="J142" s="31">
        <v>3.5</v>
      </c>
      <c r="K142" s="31">
        <v>0.8</v>
      </c>
      <c r="L142" s="31">
        <v>12.3</v>
      </c>
      <c r="M142" s="31">
        <v>0.16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/>
      <c r="T142" s="31"/>
    </row>
    <row r="143" spans="1:20" x14ac:dyDescent="0.2">
      <c r="A143" s="264"/>
      <c r="B143" s="30" t="s">
        <v>171</v>
      </c>
      <c r="C143" s="31">
        <v>4.4000000000000004</v>
      </c>
      <c r="D143" s="31">
        <v>4.4000000000000004</v>
      </c>
      <c r="E143" s="31">
        <v>1.4E-2</v>
      </c>
      <c r="F143" s="31">
        <v>3.9</v>
      </c>
      <c r="G143" s="33">
        <v>0.05</v>
      </c>
      <c r="H143" s="33">
        <v>35.549999999999997</v>
      </c>
      <c r="I143" s="31">
        <v>0.8</v>
      </c>
      <c r="J143" s="31">
        <v>0.9</v>
      </c>
      <c r="K143" s="31">
        <v>0.1</v>
      </c>
      <c r="L143" s="31">
        <v>0.8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/>
      <c r="T143" s="31"/>
    </row>
    <row r="144" spans="1:20" x14ac:dyDescent="0.2">
      <c r="A144" s="264"/>
      <c r="B144" s="30" t="s">
        <v>172</v>
      </c>
      <c r="C144" s="31">
        <v>0.37</v>
      </c>
      <c r="D144" s="31">
        <v>0.37</v>
      </c>
      <c r="E144" s="31">
        <v>0.1</v>
      </c>
      <c r="F144" s="31">
        <v>0.05</v>
      </c>
      <c r="G144" s="33">
        <v>0</v>
      </c>
      <c r="H144" s="33">
        <v>8.1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/>
      <c r="T144" s="31"/>
    </row>
    <row r="145" spans="1:20" x14ac:dyDescent="0.2">
      <c r="A145" s="264"/>
      <c r="B145" s="30" t="s">
        <v>35</v>
      </c>
      <c r="C145" s="31">
        <v>11</v>
      </c>
      <c r="D145" s="31">
        <v>11</v>
      </c>
      <c r="E145" s="31">
        <v>0</v>
      </c>
      <c r="F145" s="31">
        <v>0</v>
      </c>
      <c r="G145" s="33">
        <v>0</v>
      </c>
      <c r="H145" s="33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/>
      <c r="T145" s="31"/>
    </row>
    <row r="146" spans="1:20" x14ac:dyDescent="0.2">
      <c r="A146" s="264"/>
      <c r="B146" s="30" t="s">
        <v>46</v>
      </c>
      <c r="C146" s="31">
        <v>0.5</v>
      </c>
      <c r="D146" s="31">
        <v>0.5</v>
      </c>
      <c r="E146" s="31">
        <v>0</v>
      </c>
      <c r="F146" s="31">
        <v>0</v>
      </c>
      <c r="G146" s="33">
        <v>0</v>
      </c>
      <c r="H146" s="33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/>
      <c r="T146" s="31"/>
    </row>
    <row r="147" spans="1:20" s="268" customFormat="1" ht="12.75" customHeight="1" x14ac:dyDescent="0.2">
      <c r="A147" s="264"/>
      <c r="B147" s="30" t="s">
        <v>34</v>
      </c>
      <c r="C147" s="31">
        <v>0.35</v>
      </c>
      <c r="D147" s="31">
        <v>0.35</v>
      </c>
      <c r="E147" s="31">
        <v>0</v>
      </c>
      <c r="F147" s="31">
        <v>0.35</v>
      </c>
      <c r="G147" s="31">
        <v>0</v>
      </c>
      <c r="H147" s="31">
        <v>3.15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/>
      <c r="T147" s="31"/>
    </row>
    <row r="148" spans="1:20" x14ac:dyDescent="0.2">
      <c r="A148" s="264"/>
      <c r="B148" s="30" t="s">
        <v>173</v>
      </c>
      <c r="C148" s="31">
        <v>2.9</v>
      </c>
      <c r="D148" s="31">
        <v>2.9</v>
      </c>
      <c r="E148" s="31">
        <v>0</v>
      </c>
      <c r="F148" s="31">
        <v>0</v>
      </c>
      <c r="G148" s="31">
        <v>3.3</v>
      </c>
      <c r="H148" s="31">
        <v>11.05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/>
      <c r="T148" s="31"/>
    </row>
    <row r="149" spans="1:20" x14ac:dyDescent="0.2">
      <c r="A149" s="125"/>
      <c r="B149" s="265" t="s">
        <v>174</v>
      </c>
      <c r="C149" s="31">
        <v>45.45</v>
      </c>
      <c r="D149" s="31">
        <v>45</v>
      </c>
      <c r="E149" s="31">
        <v>0.18</v>
      </c>
      <c r="F149" s="31">
        <v>0</v>
      </c>
      <c r="G149" s="31">
        <v>29.3</v>
      </c>
      <c r="H149" s="31">
        <v>112.5</v>
      </c>
      <c r="I149" s="31">
        <v>58</v>
      </c>
      <c r="J149" s="31">
        <v>6.3</v>
      </c>
      <c r="K149" s="31">
        <v>3.2</v>
      </c>
      <c r="L149" s="31">
        <v>4</v>
      </c>
      <c r="M149" s="31">
        <v>0.6</v>
      </c>
      <c r="N149" s="31">
        <v>0</v>
      </c>
      <c r="O149" s="31">
        <v>0</v>
      </c>
      <c r="P149" s="31">
        <v>0</v>
      </c>
      <c r="Q149" s="31">
        <v>0</v>
      </c>
      <c r="R149" s="31">
        <v>0.22</v>
      </c>
      <c r="S149" s="31"/>
      <c r="T149" s="31"/>
    </row>
    <row r="150" spans="1:20" x14ac:dyDescent="0.2">
      <c r="A150" s="55"/>
      <c r="B150" s="3" t="s">
        <v>77</v>
      </c>
      <c r="C150" s="3"/>
      <c r="D150" s="3"/>
      <c r="E150" s="3">
        <f>SUM(E141:E149)</f>
        <v>5.4639999999999995</v>
      </c>
      <c r="F150" s="3">
        <f t="shared" ref="F150:Q150" si="16">SUM(F141:F149)</f>
        <v>5.419999999999999</v>
      </c>
      <c r="G150" s="3">
        <f t="shared" si="16"/>
        <v>63.89</v>
      </c>
      <c r="H150" s="3">
        <f t="shared" si="16"/>
        <v>317.65000000000003</v>
      </c>
      <c r="I150" s="3">
        <f t="shared" si="16"/>
        <v>143.5</v>
      </c>
      <c r="J150" s="3">
        <f t="shared" si="16"/>
        <v>21</v>
      </c>
      <c r="K150" s="3">
        <f t="shared" si="16"/>
        <v>23.1</v>
      </c>
      <c r="L150" s="3">
        <f t="shared" si="16"/>
        <v>66.599999999999994</v>
      </c>
      <c r="M150" s="3">
        <f t="shared" si="16"/>
        <v>1.6600000000000001</v>
      </c>
      <c r="N150" s="3">
        <f t="shared" si="16"/>
        <v>0</v>
      </c>
      <c r="O150" s="3">
        <f t="shared" si="16"/>
        <v>0</v>
      </c>
      <c r="P150" s="3">
        <f t="shared" si="16"/>
        <v>0</v>
      </c>
      <c r="Q150" s="3">
        <f t="shared" si="16"/>
        <v>0.52</v>
      </c>
      <c r="R150" s="3">
        <f>SUM(R141:R149)</f>
        <v>0.22</v>
      </c>
      <c r="S150" s="3"/>
      <c r="T150" s="3"/>
    </row>
    <row r="151" spans="1:20" x14ac:dyDescent="0.2">
      <c r="A151" s="271" t="s">
        <v>24</v>
      </c>
      <c r="B151" s="274" t="s">
        <v>194</v>
      </c>
      <c r="C151" s="273">
        <v>200</v>
      </c>
      <c r="D151" s="272">
        <v>200</v>
      </c>
      <c r="E151" s="273">
        <v>0.86</v>
      </c>
      <c r="F151" s="273">
        <v>0</v>
      </c>
      <c r="G151" s="273">
        <v>28.7</v>
      </c>
      <c r="H151" s="273">
        <v>121.2</v>
      </c>
      <c r="I151" s="273">
        <v>100</v>
      </c>
      <c r="J151" s="273">
        <v>8</v>
      </c>
      <c r="K151" s="273">
        <v>5</v>
      </c>
      <c r="L151" s="273">
        <v>9</v>
      </c>
      <c r="M151" s="273">
        <v>0.2</v>
      </c>
      <c r="N151" s="273">
        <v>0</v>
      </c>
      <c r="O151" s="273">
        <v>0.01</v>
      </c>
      <c r="P151" s="273">
        <v>0.01</v>
      </c>
      <c r="Q151" s="273">
        <v>0.1</v>
      </c>
      <c r="R151" s="273">
        <v>2</v>
      </c>
      <c r="S151" s="273"/>
      <c r="T151" s="273"/>
    </row>
    <row r="152" spans="1:20" x14ac:dyDescent="0.2">
      <c r="A152" s="271"/>
      <c r="B152" s="272" t="s">
        <v>164</v>
      </c>
      <c r="C152" s="273"/>
      <c r="D152" s="272"/>
      <c r="E152" s="272">
        <f>E134+E151</f>
        <v>9.9099999999999984</v>
      </c>
      <c r="F152" s="272">
        <f t="shared" ref="F152:Q154" si="17">F134+F151</f>
        <v>45.68</v>
      </c>
      <c r="G152" s="272">
        <f t="shared" si="17"/>
        <v>156.25</v>
      </c>
      <c r="H152" s="272">
        <f t="shared" si="17"/>
        <v>687.7</v>
      </c>
      <c r="I152" s="272">
        <f t="shared" si="17"/>
        <v>491.90000000000003</v>
      </c>
      <c r="J152" s="272">
        <f t="shared" si="17"/>
        <v>213.70000000000005</v>
      </c>
      <c r="K152" s="272">
        <f t="shared" si="17"/>
        <v>54.8</v>
      </c>
      <c r="L152" s="272">
        <f t="shared" si="17"/>
        <v>209.79999999999998</v>
      </c>
      <c r="M152" s="272">
        <f t="shared" si="17"/>
        <v>3.0500000000000003</v>
      </c>
      <c r="N152" s="272">
        <f t="shared" si="17"/>
        <v>0.03</v>
      </c>
      <c r="O152" s="272">
        <f t="shared" si="17"/>
        <v>6.9999999999999993E-2</v>
      </c>
      <c r="P152" s="272">
        <f t="shared" si="17"/>
        <v>1.0599999999999998</v>
      </c>
      <c r="Q152" s="272">
        <f t="shared" si="17"/>
        <v>0.77000000000000013</v>
      </c>
      <c r="R152" s="272">
        <f>R134+R151</f>
        <v>4.620000000000001</v>
      </c>
      <c r="S152" s="272"/>
      <c r="T152" s="272"/>
    </row>
    <row r="153" spans="1:20" s="269" customFormat="1" hidden="1" x14ac:dyDescent="0.2">
      <c r="A153" s="271" t="s">
        <v>24</v>
      </c>
      <c r="B153" s="274" t="s">
        <v>194</v>
      </c>
      <c r="C153" s="273">
        <v>200</v>
      </c>
      <c r="D153" s="272">
        <v>200</v>
      </c>
      <c r="E153" s="273">
        <v>0.86</v>
      </c>
      <c r="F153" s="273">
        <v>0</v>
      </c>
      <c r="G153" s="273">
        <v>28.7</v>
      </c>
      <c r="H153" s="273">
        <v>121.2</v>
      </c>
      <c r="I153" s="273">
        <v>100</v>
      </c>
      <c r="J153" s="273">
        <v>8</v>
      </c>
      <c r="K153" s="273">
        <v>5</v>
      </c>
      <c r="L153" s="273">
        <v>9</v>
      </c>
      <c r="M153" s="273">
        <v>0.2</v>
      </c>
      <c r="N153" s="273">
        <v>0</v>
      </c>
      <c r="O153" s="273">
        <v>0.01</v>
      </c>
      <c r="P153" s="273">
        <v>0.01</v>
      </c>
      <c r="Q153" s="273">
        <v>0.1</v>
      </c>
      <c r="R153" s="273">
        <v>2</v>
      </c>
      <c r="S153" s="273"/>
      <c r="T153" s="273"/>
    </row>
    <row r="154" spans="1:20" hidden="1" x14ac:dyDescent="0.2">
      <c r="A154" s="271"/>
      <c r="B154" s="272" t="s">
        <v>164</v>
      </c>
      <c r="C154" s="273"/>
      <c r="D154" s="272"/>
      <c r="E154" s="272">
        <f>E136+E153</f>
        <v>10.769999999999998</v>
      </c>
      <c r="F154" s="272">
        <f t="shared" si="17"/>
        <v>45.68</v>
      </c>
      <c r="G154" s="272">
        <f t="shared" si="17"/>
        <v>184.95</v>
      </c>
      <c r="H154" s="272">
        <f t="shared" si="17"/>
        <v>808.90000000000009</v>
      </c>
      <c r="I154" s="272">
        <f t="shared" si="17"/>
        <v>591.90000000000009</v>
      </c>
      <c r="J154" s="272">
        <f t="shared" si="17"/>
        <v>221.70000000000005</v>
      </c>
      <c r="K154" s="272">
        <f t="shared" si="17"/>
        <v>59.8</v>
      </c>
      <c r="L154" s="272">
        <f t="shared" si="17"/>
        <v>218.79999999999998</v>
      </c>
      <c r="M154" s="272">
        <f t="shared" si="17"/>
        <v>3.2500000000000004</v>
      </c>
      <c r="N154" s="272">
        <f t="shared" si="17"/>
        <v>0.03</v>
      </c>
      <c r="O154" s="272">
        <f t="shared" si="17"/>
        <v>7.9999999999999988E-2</v>
      </c>
      <c r="P154" s="272">
        <f t="shared" si="17"/>
        <v>1.0699999999999998</v>
      </c>
      <c r="Q154" s="272">
        <f t="shared" si="17"/>
        <v>0.87000000000000011</v>
      </c>
      <c r="R154" s="272">
        <f>R136+R153</f>
        <v>6.620000000000001</v>
      </c>
      <c r="S154" s="272"/>
      <c r="T154" s="272"/>
    </row>
    <row r="155" spans="1:20" x14ac:dyDescent="0.2">
      <c r="A155" s="271"/>
      <c r="B155" s="277" t="s">
        <v>64</v>
      </c>
      <c r="C155" s="300"/>
      <c r="D155" s="300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</row>
    <row r="156" spans="1:20" ht="25.5" x14ac:dyDescent="0.2">
      <c r="A156" s="301" t="s">
        <v>221</v>
      </c>
      <c r="B156" s="302" t="s">
        <v>222</v>
      </c>
      <c r="C156" s="330">
        <v>210</v>
      </c>
      <c r="D156" s="331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</row>
    <row r="157" spans="1:20" x14ac:dyDescent="0.2">
      <c r="A157" s="303"/>
      <c r="B157" s="304" t="s">
        <v>223</v>
      </c>
      <c r="C157" s="282">
        <v>14</v>
      </c>
      <c r="D157" s="282">
        <v>14</v>
      </c>
      <c r="E157" s="273">
        <f>11.5*D157/100</f>
        <v>1.61</v>
      </c>
      <c r="F157" s="273">
        <f>1*D157/100</f>
        <v>0.14000000000000001</v>
      </c>
      <c r="G157" s="273">
        <f>71.4*D157/100</f>
        <v>9.9960000000000022</v>
      </c>
      <c r="H157" s="273">
        <f>330*D157/100</f>
        <v>46.2</v>
      </c>
      <c r="I157" s="273">
        <f>D157*54/100</f>
        <v>7.56</v>
      </c>
      <c r="J157" s="273">
        <f>24*D157/100</f>
        <v>3.36</v>
      </c>
      <c r="K157" s="273">
        <f>21*D157/100</f>
        <v>2.94</v>
      </c>
      <c r="L157" s="273">
        <f>1.8*D157/100</f>
        <v>0.252</v>
      </c>
      <c r="M157" s="273">
        <f>1.8*D157/100</f>
        <v>0.252</v>
      </c>
      <c r="N157" s="273">
        <v>0</v>
      </c>
      <c r="O157" s="273">
        <f>0.08*D157/100</f>
        <v>1.1200000000000002E-2</v>
      </c>
      <c r="P157" s="273">
        <f>0.04*D157/100</f>
        <v>5.6000000000000008E-3</v>
      </c>
      <c r="Q157" s="273">
        <f>1.6*D157/100</f>
        <v>0.22400000000000003</v>
      </c>
      <c r="R157" s="273">
        <v>0</v>
      </c>
      <c r="S157" s="273"/>
      <c r="T157" s="273"/>
    </row>
    <row r="158" spans="1:20" x14ac:dyDescent="0.2">
      <c r="A158" s="303"/>
      <c r="B158" s="304" t="s">
        <v>224</v>
      </c>
      <c r="C158" s="282">
        <v>19</v>
      </c>
      <c r="D158" s="282">
        <v>19</v>
      </c>
      <c r="E158" s="300">
        <f>11.5*D158/100</f>
        <v>2.1850000000000001</v>
      </c>
      <c r="F158" s="300">
        <f>3.33*D158/100</f>
        <v>0.63270000000000004</v>
      </c>
      <c r="G158" s="300">
        <f>66.5*D158/100</f>
        <v>12.635</v>
      </c>
      <c r="H158" s="300">
        <f>348*D158/100</f>
        <v>66.12</v>
      </c>
      <c r="I158" s="300">
        <f>D158*201/100</f>
        <v>38.19</v>
      </c>
      <c r="J158" s="300">
        <f>27*D158/100</f>
        <v>5.13</v>
      </c>
      <c r="K158" s="300">
        <f>101*D158/100</f>
        <v>19.190000000000001</v>
      </c>
      <c r="L158" s="300">
        <f>7*D158/100</f>
        <v>1.33</v>
      </c>
      <c r="M158" s="300">
        <f>7*D158/100</f>
        <v>1.33</v>
      </c>
      <c r="N158" s="300">
        <f>0.15*D158/100</f>
        <v>2.8500000000000001E-2</v>
      </c>
      <c r="O158" s="300">
        <f>0.62*D158/100</f>
        <v>0.11779999999999999</v>
      </c>
      <c r="P158" s="300">
        <f>0.04*D158/100</f>
        <v>7.6E-3</v>
      </c>
      <c r="Q158" s="300">
        <f>1.55*D158/100</f>
        <v>0.29449999999999998</v>
      </c>
      <c r="R158" s="300">
        <v>0</v>
      </c>
      <c r="S158" s="300"/>
      <c r="T158" s="300"/>
    </row>
    <row r="159" spans="1:20" ht="16.5" customHeight="1" x14ac:dyDescent="0.2">
      <c r="A159" s="303"/>
      <c r="B159" s="304" t="s">
        <v>225</v>
      </c>
      <c r="C159" s="282">
        <v>100</v>
      </c>
      <c r="D159" s="282">
        <v>100</v>
      </c>
      <c r="E159" s="300">
        <f>2.8*C159/100</f>
        <v>2.8</v>
      </c>
      <c r="F159" s="300">
        <f>3.2*C159/100</f>
        <v>3.2</v>
      </c>
      <c r="G159" s="300">
        <f>4.7*C159/100</f>
        <v>4.7</v>
      </c>
      <c r="H159" s="300">
        <f>5.8*C159/100</f>
        <v>5.8</v>
      </c>
      <c r="I159" s="300">
        <f>146*C159/100</f>
        <v>146</v>
      </c>
      <c r="J159" s="300">
        <f>120*C159/100</f>
        <v>120</v>
      </c>
      <c r="K159" s="300">
        <f>114*C159/100</f>
        <v>114</v>
      </c>
      <c r="L159" s="300">
        <f>0.1*C159/100</f>
        <v>0.1</v>
      </c>
      <c r="M159" s="300">
        <f>0.1*C159/100</f>
        <v>0.1</v>
      </c>
      <c r="N159" s="300">
        <f>0.02*C159/100</f>
        <v>0.02</v>
      </c>
      <c r="O159" s="300">
        <f>0.04*C159/100</f>
        <v>0.04</v>
      </c>
      <c r="P159" s="300">
        <f>0.15*C159/100</f>
        <v>0.15</v>
      </c>
      <c r="Q159" s="300">
        <f>0.1*C159/100</f>
        <v>0.1</v>
      </c>
      <c r="R159" s="300">
        <f>1.3*A159/100</f>
        <v>0</v>
      </c>
      <c r="S159" s="300"/>
      <c r="T159" s="300"/>
    </row>
    <row r="160" spans="1:20" x14ac:dyDescent="0.2">
      <c r="A160" s="303"/>
      <c r="B160" s="304" t="s">
        <v>226</v>
      </c>
      <c r="C160" s="282">
        <v>65</v>
      </c>
      <c r="D160" s="282">
        <v>65</v>
      </c>
      <c r="E160" s="282">
        <v>0</v>
      </c>
      <c r="F160" s="282">
        <v>0</v>
      </c>
      <c r="G160" s="282">
        <v>0</v>
      </c>
      <c r="H160" s="282">
        <v>0</v>
      </c>
      <c r="I160" s="282">
        <v>0</v>
      </c>
      <c r="J160" s="282">
        <v>0</v>
      </c>
      <c r="K160" s="282">
        <v>0</v>
      </c>
      <c r="L160" s="282">
        <v>0</v>
      </c>
      <c r="M160" s="282">
        <v>0</v>
      </c>
      <c r="N160" s="282">
        <v>0</v>
      </c>
      <c r="O160" s="282">
        <v>0</v>
      </c>
      <c r="P160" s="282">
        <v>0</v>
      </c>
      <c r="Q160" s="282">
        <v>0</v>
      </c>
      <c r="R160" s="282">
        <v>0</v>
      </c>
      <c r="S160" s="282"/>
      <c r="T160" s="282"/>
    </row>
    <row r="161" spans="1:20" x14ac:dyDescent="0.2">
      <c r="A161" s="303"/>
      <c r="B161" s="304" t="s">
        <v>227</v>
      </c>
      <c r="C161" s="270">
        <v>6</v>
      </c>
      <c r="D161" s="270">
        <v>6</v>
      </c>
      <c r="E161" s="300">
        <f>0</f>
        <v>0</v>
      </c>
      <c r="F161" s="300">
        <v>0</v>
      </c>
      <c r="G161" s="300">
        <f>99.8*D161/100</f>
        <v>5.9879999999999995</v>
      </c>
      <c r="H161" s="300">
        <f>379*D161/100</f>
        <v>22.74</v>
      </c>
      <c r="I161" s="300">
        <f>3*D161/100</f>
        <v>0.18</v>
      </c>
      <c r="J161" s="300">
        <f>2*D161/100</f>
        <v>0.12</v>
      </c>
      <c r="K161" s="300">
        <f>0</f>
        <v>0</v>
      </c>
      <c r="L161" s="300">
        <f>0.3*D161/100</f>
        <v>1.7999999999999999E-2</v>
      </c>
      <c r="M161" s="300">
        <f>0.3*D161/100</f>
        <v>1.7999999999999999E-2</v>
      </c>
      <c r="N161" s="300">
        <v>0</v>
      </c>
      <c r="O161" s="300">
        <f>0</f>
        <v>0</v>
      </c>
      <c r="P161" s="300">
        <v>0</v>
      </c>
      <c r="Q161" s="300">
        <v>0</v>
      </c>
      <c r="R161" s="300">
        <v>0</v>
      </c>
      <c r="S161" s="300"/>
      <c r="T161" s="300"/>
    </row>
    <row r="162" spans="1:20" ht="25.5" x14ac:dyDescent="0.2">
      <c r="A162" s="303"/>
      <c r="B162" s="305" t="s">
        <v>228</v>
      </c>
      <c r="C162" s="282">
        <v>10</v>
      </c>
      <c r="D162" s="282">
        <v>10</v>
      </c>
      <c r="E162" s="296">
        <f>0.8*D162/100</f>
        <v>0.08</v>
      </c>
      <c r="F162" s="296">
        <f>72.5*D162/100</f>
        <v>7.25</v>
      </c>
      <c r="G162" s="296">
        <f>1.3*D162/100</f>
        <v>0.13</v>
      </c>
      <c r="H162" s="296">
        <f>661*D162/100</f>
        <v>66.099999999999994</v>
      </c>
      <c r="I162" s="306">
        <f>23*D162/100</f>
        <v>2.2999999999999998</v>
      </c>
      <c r="J162" s="296">
        <f>22*D162/100</f>
        <v>2.2000000000000002</v>
      </c>
      <c r="K162" s="296">
        <f>3*D162/100</f>
        <v>0.3</v>
      </c>
      <c r="L162" s="297">
        <f>19*D162/100</f>
        <v>1.9</v>
      </c>
      <c r="M162" s="296">
        <f>0.2*D162/100</f>
        <v>0.02</v>
      </c>
      <c r="N162" s="296">
        <f>0.5*D162/100</f>
        <v>0.05</v>
      </c>
      <c r="O162" s="296">
        <f>0</f>
        <v>0</v>
      </c>
      <c r="P162" s="296">
        <f>0.01*D162/100</f>
        <v>1E-3</v>
      </c>
      <c r="Q162" s="296">
        <f>0.1*D162/100</f>
        <v>0.01</v>
      </c>
      <c r="R162" s="296">
        <f>0</f>
        <v>0</v>
      </c>
      <c r="S162" s="296"/>
      <c r="T162" s="296"/>
    </row>
    <row r="163" spans="1:20" x14ac:dyDescent="0.2">
      <c r="A163" s="301"/>
      <c r="B163" s="307" t="s">
        <v>77</v>
      </c>
      <c r="C163" s="277"/>
      <c r="D163" s="277"/>
      <c r="E163" s="277">
        <f>SUM(E157:E162)+1</f>
        <v>7.6749999999999998</v>
      </c>
      <c r="F163" s="277">
        <f>SUM(F157:F162)</f>
        <v>11.2227</v>
      </c>
      <c r="G163" s="277">
        <f t="shared" ref="G163:Q163" si="18">SUM(G157:G162)</f>
        <v>33.449000000000005</v>
      </c>
      <c r="H163" s="277">
        <f t="shared" si="18"/>
        <v>206.96</v>
      </c>
      <c r="I163" s="277">
        <f t="shared" si="18"/>
        <v>194.23000000000002</v>
      </c>
      <c r="J163" s="277">
        <f t="shared" si="18"/>
        <v>130.81</v>
      </c>
      <c r="K163" s="277">
        <f t="shared" si="18"/>
        <v>136.43</v>
      </c>
      <c r="L163" s="277">
        <f t="shared" si="18"/>
        <v>3.6</v>
      </c>
      <c r="M163" s="277">
        <f t="shared" si="18"/>
        <v>1.7200000000000002</v>
      </c>
      <c r="N163" s="277">
        <f t="shared" si="18"/>
        <v>9.8500000000000004E-2</v>
      </c>
      <c r="O163" s="277">
        <f t="shared" si="18"/>
        <v>0.16900000000000001</v>
      </c>
      <c r="P163" s="277">
        <f t="shared" si="18"/>
        <v>0.16419999999999998</v>
      </c>
      <c r="Q163" s="277">
        <f t="shared" si="18"/>
        <v>0.62849999999999995</v>
      </c>
      <c r="R163" s="277">
        <f>SUM(R157:R162)</f>
        <v>0</v>
      </c>
      <c r="S163" s="277"/>
      <c r="T163" s="277"/>
    </row>
    <row r="164" spans="1:20" s="26" customFormat="1" ht="14.25" customHeight="1" x14ac:dyDescent="0.2">
      <c r="A164" s="271" t="s">
        <v>73</v>
      </c>
      <c r="B164" s="274" t="s">
        <v>74</v>
      </c>
      <c r="C164" s="330" t="s">
        <v>75</v>
      </c>
      <c r="D164" s="331"/>
      <c r="E164" s="272">
        <v>0.1</v>
      </c>
      <c r="F164" s="272">
        <v>0</v>
      </c>
      <c r="G164" s="272">
        <v>15</v>
      </c>
      <c r="H164" s="272">
        <v>57.7</v>
      </c>
      <c r="I164" s="289">
        <v>12.9</v>
      </c>
      <c r="J164" s="272">
        <v>2.9</v>
      </c>
      <c r="K164" s="272">
        <v>2.2000000000000002</v>
      </c>
      <c r="L164" s="289">
        <v>4.12</v>
      </c>
      <c r="M164" s="272">
        <v>0.4</v>
      </c>
      <c r="N164" s="272">
        <v>0</v>
      </c>
      <c r="O164" s="272">
        <v>0</v>
      </c>
      <c r="P164" s="272">
        <v>0</v>
      </c>
      <c r="Q164" s="272">
        <v>0</v>
      </c>
      <c r="R164" s="272">
        <v>0</v>
      </c>
      <c r="S164" s="272"/>
      <c r="T164" s="272"/>
    </row>
    <row r="165" spans="1:20" x14ac:dyDescent="0.2">
      <c r="A165" s="271"/>
      <c r="B165" s="281" t="s">
        <v>40</v>
      </c>
      <c r="C165" s="282">
        <v>50</v>
      </c>
      <c r="D165" s="282">
        <v>50</v>
      </c>
      <c r="E165" s="273">
        <v>0.1</v>
      </c>
      <c r="F165" s="273">
        <v>0</v>
      </c>
      <c r="G165" s="273">
        <v>0</v>
      </c>
      <c r="H165" s="273">
        <v>0.8</v>
      </c>
      <c r="I165" s="284">
        <v>12.4</v>
      </c>
      <c r="J165" s="273">
        <v>2.5</v>
      </c>
      <c r="K165" s="273">
        <v>2.2000000000000002</v>
      </c>
      <c r="L165" s="284">
        <v>4.12</v>
      </c>
      <c r="M165" s="273">
        <v>0.4</v>
      </c>
      <c r="N165" s="273">
        <v>0</v>
      </c>
      <c r="O165" s="273">
        <v>0</v>
      </c>
      <c r="P165" s="273">
        <v>0</v>
      </c>
      <c r="Q165" s="273">
        <v>0</v>
      </c>
      <c r="R165" s="273">
        <v>0</v>
      </c>
      <c r="S165" s="273"/>
      <c r="T165" s="273"/>
    </row>
    <row r="166" spans="1:20" x14ac:dyDescent="0.2">
      <c r="A166" s="271"/>
      <c r="B166" s="281" t="s">
        <v>30</v>
      </c>
      <c r="C166" s="282">
        <v>15</v>
      </c>
      <c r="D166" s="282">
        <v>15</v>
      </c>
      <c r="E166" s="273">
        <v>0</v>
      </c>
      <c r="F166" s="273">
        <v>0</v>
      </c>
      <c r="G166" s="273">
        <v>15</v>
      </c>
      <c r="H166" s="273">
        <v>56.9</v>
      </c>
      <c r="I166" s="284">
        <v>0.5</v>
      </c>
      <c r="J166" s="273">
        <v>0.4</v>
      </c>
      <c r="K166" s="273">
        <v>0</v>
      </c>
      <c r="L166" s="284">
        <v>0</v>
      </c>
      <c r="M166" s="273">
        <v>0</v>
      </c>
      <c r="N166" s="273">
        <v>0</v>
      </c>
      <c r="O166" s="273">
        <v>0</v>
      </c>
      <c r="P166" s="273">
        <v>0</v>
      </c>
      <c r="Q166" s="273">
        <v>0</v>
      </c>
      <c r="R166" s="273">
        <v>0</v>
      </c>
      <c r="S166" s="273"/>
      <c r="T166" s="273"/>
    </row>
    <row r="167" spans="1:20" x14ac:dyDescent="0.2">
      <c r="A167" s="279"/>
      <c r="B167" s="281" t="s">
        <v>35</v>
      </c>
      <c r="C167" s="282">
        <v>150</v>
      </c>
      <c r="D167" s="282">
        <v>150</v>
      </c>
      <c r="E167" s="273">
        <v>0</v>
      </c>
      <c r="F167" s="273">
        <v>0</v>
      </c>
      <c r="G167" s="273">
        <v>0</v>
      </c>
      <c r="H167" s="273">
        <v>0</v>
      </c>
      <c r="I167" s="273">
        <v>0</v>
      </c>
      <c r="J167" s="273">
        <v>0</v>
      </c>
      <c r="K167" s="273">
        <v>0</v>
      </c>
      <c r="L167" s="273">
        <v>0</v>
      </c>
      <c r="M167" s="273">
        <v>0</v>
      </c>
      <c r="N167" s="273">
        <v>0</v>
      </c>
      <c r="O167" s="273">
        <v>0</v>
      </c>
      <c r="P167" s="273">
        <v>0</v>
      </c>
      <c r="Q167" s="273">
        <v>0</v>
      </c>
      <c r="R167" s="273">
        <v>0</v>
      </c>
      <c r="S167" s="273"/>
      <c r="T167" s="273"/>
    </row>
    <row r="168" spans="1:20" s="231" customFormat="1" ht="13.5" customHeight="1" x14ac:dyDescent="0.2">
      <c r="A168" s="271"/>
      <c r="B168" s="272" t="s">
        <v>229</v>
      </c>
      <c r="C168" s="273"/>
      <c r="D168" s="273"/>
      <c r="E168" s="272">
        <f t="shared" ref="E168:R168" si="19">E156+E164</f>
        <v>0.1</v>
      </c>
      <c r="F168" s="272">
        <f t="shared" si="19"/>
        <v>0</v>
      </c>
      <c r="G168" s="272">
        <f t="shared" si="19"/>
        <v>15</v>
      </c>
      <c r="H168" s="272">
        <f t="shared" si="19"/>
        <v>57.7</v>
      </c>
      <c r="I168" s="272">
        <f t="shared" si="19"/>
        <v>12.9</v>
      </c>
      <c r="J168" s="272">
        <f t="shared" si="19"/>
        <v>2.9</v>
      </c>
      <c r="K168" s="272">
        <f t="shared" si="19"/>
        <v>2.2000000000000002</v>
      </c>
      <c r="L168" s="272">
        <f t="shared" si="19"/>
        <v>4.12</v>
      </c>
      <c r="M168" s="272">
        <f t="shared" si="19"/>
        <v>0.4</v>
      </c>
      <c r="N168" s="272">
        <f t="shared" si="19"/>
        <v>0</v>
      </c>
      <c r="O168" s="272">
        <f t="shared" si="19"/>
        <v>0</v>
      </c>
      <c r="P168" s="272">
        <f t="shared" si="19"/>
        <v>0</v>
      </c>
      <c r="Q168" s="272">
        <f t="shared" si="19"/>
        <v>0</v>
      </c>
      <c r="R168" s="272">
        <f t="shared" si="19"/>
        <v>0</v>
      </c>
      <c r="S168" s="272"/>
      <c r="T168" s="272"/>
    </row>
    <row r="169" spans="1:20" x14ac:dyDescent="0.2">
      <c r="A169" s="273"/>
      <c r="B169" s="292" t="s">
        <v>65</v>
      </c>
      <c r="C169" s="258"/>
      <c r="D169" s="258"/>
      <c r="E169" s="258">
        <v>192.74</v>
      </c>
      <c r="F169" s="258">
        <v>215.94</v>
      </c>
      <c r="G169" s="258">
        <v>895.82</v>
      </c>
      <c r="H169" s="258">
        <v>6597.1</v>
      </c>
      <c r="I169" s="258">
        <v>4828</v>
      </c>
      <c r="J169" s="258">
        <v>2114.9699999999998</v>
      </c>
      <c r="K169" s="258">
        <v>849.89</v>
      </c>
      <c r="L169" s="258">
        <v>2451.1</v>
      </c>
      <c r="M169" s="258">
        <v>35.22</v>
      </c>
      <c r="N169" s="258">
        <v>1.4</v>
      </c>
      <c r="O169" s="258">
        <v>2.3740000000000001</v>
      </c>
      <c r="P169" s="258">
        <v>3.5449999999999999</v>
      </c>
      <c r="Q169" s="258">
        <v>27.36</v>
      </c>
      <c r="R169" s="258">
        <v>54.508000000000003</v>
      </c>
      <c r="S169" s="272"/>
      <c r="T169" s="272"/>
    </row>
    <row r="170" spans="1:20" x14ac:dyDescent="0.2">
      <c r="A170" s="273"/>
      <c r="B170" s="308" t="s">
        <v>230</v>
      </c>
      <c r="C170" s="309"/>
      <c r="D170" s="309"/>
      <c r="E170" s="309">
        <v>19.274000000000001</v>
      </c>
      <c r="F170" s="309">
        <v>21.594000000000001</v>
      </c>
      <c r="G170" s="309">
        <v>89.581999999999994</v>
      </c>
      <c r="H170" s="309">
        <v>659.71</v>
      </c>
      <c r="I170" s="309">
        <v>482.8</v>
      </c>
      <c r="J170" s="309">
        <v>211.49700000000001</v>
      </c>
      <c r="K170" s="309">
        <v>84.989000000000004</v>
      </c>
      <c r="L170" s="309">
        <v>245.11</v>
      </c>
      <c r="M170" s="309">
        <v>3.5219999999999998</v>
      </c>
      <c r="N170" s="309">
        <v>0.14000000000000001</v>
      </c>
      <c r="O170" s="309">
        <v>0.23699999999999999</v>
      </c>
      <c r="P170" s="309">
        <v>0.35499999999999998</v>
      </c>
      <c r="Q170" s="309">
        <v>2.7360000000000002</v>
      </c>
      <c r="R170" s="309">
        <v>5.4508000000000001</v>
      </c>
      <c r="S170" s="272"/>
      <c r="T170" s="272"/>
    </row>
    <row r="171" spans="1:20" x14ac:dyDescent="0.2">
      <c r="A171" s="273"/>
      <c r="B171" s="273"/>
      <c r="C171" s="273"/>
      <c r="D171" s="273"/>
      <c r="E171" s="273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</row>
  </sheetData>
  <mergeCells count="20">
    <mergeCell ref="C84:D84"/>
    <mergeCell ref="C156:D156"/>
    <mergeCell ref="C164:D164"/>
    <mergeCell ref="A98:A99"/>
    <mergeCell ref="C116:D116"/>
    <mergeCell ref="A126:A127"/>
    <mergeCell ref="C76:D76"/>
    <mergeCell ref="G1:G2"/>
    <mergeCell ref="H1:H2"/>
    <mergeCell ref="I1:M1"/>
    <mergeCell ref="N1:T1"/>
    <mergeCell ref="E1:E2"/>
    <mergeCell ref="F1:F2"/>
    <mergeCell ref="A58:A59"/>
    <mergeCell ref="C12:D12"/>
    <mergeCell ref="A30:A31"/>
    <mergeCell ref="A1:A2"/>
    <mergeCell ref="B1:B2"/>
    <mergeCell ref="C1:C2"/>
    <mergeCell ref="D1:D2"/>
  </mergeCells>
  <pageMargins left="0.7" right="0.7" top="0.75" bottom="0.75" header="0.3" footer="0.3"/>
  <pageSetup paperSize="9" scale="82" orientation="landscape" r:id="rId1"/>
  <rowBreaks count="1" manualBreakCount="1">
    <brk id="12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уч.год 2018-2019 (7-11) обед</vt:lpstr>
      <vt:lpstr>уч.год 2018-2019 (11-17) обед</vt:lpstr>
      <vt:lpstr>уч.год 2018-2019 (7-11) гор.зав</vt:lpstr>
      <vt:lpstr>уч.год 2018-2019( 11-17) гор.за</vt:lpstr>
      <vt:lpstr>уч.год 2018-2019 льготники </vt:lpstr>
      <vt:lpstr>Завтрак </vt:lpstr>
      <vt:lpstr>исправленный завтрак</vt:lpstr>
      <vt:lpstr>'уч.год 2018-2019 (11-17) обед'!Область_печати</vt:lpstr>
      <vt:lpstr>'уч.год 2018-2019 (7-11) обед'!Область_печати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Пользователь</cp:lastModifiedBy>
  <cp:lastPrinted>2018-11-01T13:40:38Z</cp:lastPrinted>
  <dcterms:created xsi:type="dcterms:W3CDTF">2008-03-12T13:26:08Z</dcterms:created>
  <dcterms:modified xsi:type="dcterms:W3CDTF">2019-01-31T10:19:00Z</dcterms:modified>
</cp:coreProperties>
</file>